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0400" windowHeight="10040" firstSheet="5" activeTab="7"/>
  </bookViews>
  <sheets>
    <sheet name="UVT" sheetId="1" r:id="rId1"/>
    <sheet name="Cedula Rentas Trabajo" sheetId="2" r:id="rId2"/>
    <sheet name="Cedula de Pensiones" sheetId="15" r:id="rId3"/>
    <sheet name="Cedula Rentas Capital" sheetId="4" r:id="rId4"/>
    <sheet name="Cedula Rentas No Laborales" sheetId="6" r:id="rId5"/>
    <sheet name="Cedula Dividendos" sheetId="7" r:id="rId6"/>
    <sheet name="Cedula Renta Presuntiva" sheetId="16" r:id="rId7"/>
    <sheet name="Tabla Renta y Retefte" sheetId="3" r:id="rId8"/>
  </sheets>
  <definedNames>
    <definedName name="_xlnm._FilterDatabase" localSheetId="0" hidden="1">UVT!$A$6:$C$6</definedName>
    <definedName name="UVT">UVT!$A$2</definedName>
    <definedName name="UVTold">UVT!$A$3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 i="16" l="1"/>
  <c r="F33" i="16"/>
  <c r="F36" i="16"/>
  <c r="F41" i="16"/>
  <c r="F37" i="16"/>
  <c r="F45" i="16"/>
  <c r="F50" i="16"/>
  <c r="F65" i="16"/>
  <c r="F76" i="16"/>
  <c r="B4" i="16"/>
  <c r="B3" i="16"/>
  <c r="B6" i="16"/>
  <c r="B12" i="16"/>
  <c r="B5" i="6"/>
  <c r="B6" i="6"/>
  <c r="F12" i="6"/>
  <c r="F54" i="16"/>
  <c r="F56" i="16"/>
  <c r="F58" i="16"/>
  <c r="F60" i="16"/>
  <c r="F64" i="16"/>
  <c r="F5" i="2"/>
  <c r="F6" i="2"/>
  <c r="F8" i="2"/>
  <c r="G4" i="2"/>
  <c r="B3" i="2"/>
  <c r="F7" i="2"/>
  <c r="G9" i="2"/>
  <c r="B4" i="2"/>
  <c r="B5" i="2"/>
  <c r="F12" i="2"/>
  <c r="F13" i="2"/>
  <c r="F14" i="2"/>
  <c r="G15" i="2"/>
  <c r="B6" i="2"/>
  <c r="B7" i="2"/>
  <c r="G24" i="2"/>
  <c r="F24" i="2"/>
  <c r="F25" i="2"/>
  <c r="F26" i="2"/>
  <c r="G27" i="2"/>
  <c r="B8" i="2"/>
  <c r="G20" i="2"/>
  <c r="B9" i="2"/>
  <c r="B10" i="2"/>
  <c r="B11" i="2"/>
  <c r="C11" i="2"/>
  <c r="B12" i="2"/>
  <c r="B13" i="2"/>
  <c r="G6" i="15"/>
  <c r="B3" i="15"/>
  <c r="F7" i="15"/>
  <c r="B4" i="15"/>
  <c r="B5" i="15"/>
  <c r="G3" i="15"/>
  <c r="F11" i="15"/>
  <c r="G14" i="15"/>
  <c r="B6" i="15"/>
  <c r="B7" i="15"/>
  <c r="B8" i="15"/>
  <c r="B10" i="15"/>
  <c r="B11" i="15"/>
  <c r="B12" i="15"/>
  <c r="B13" i="15"/>
  <c r="G7" i="4"/>
  <c r="B3" i="4"/>
  <c r="F9" i="4"/>
  <c r="B4" i="4"/>
  <c r="B5" i="4"/>
  <c r="B6" i="4"/>
  <c r="B7" i="4"/>
  <c r="B8" i="4"/>
  <c r="B9" i="4"/>
  <c r="C9" i="4"/>
  <c r="B10" i="4"/>
  <c r="B11" i="4"/>
  <c r="G7" i="6"/>
  <c r="B3" i="6"/>
  <c r="B4" i="6"/>
  <c r="B7" i="6"/>
  <c r="B8" i="6"/>
  <c r="B9" i="6"/>
  <c r="B10" i="6"/>
  <c r="C10" i="6"/>
  <c r="B11" i="6"/>
  <c r="B12" i="6"/>
  <c r="B7" i="16"/>
  <c r="B13" i="16"/>
  <c r="B14" i="16"/>
  <c r="B15" i="16"/>
  <c r="B16" i="16"/>
  <c r="B17" i="16"/>
  <c r="B18" i="16"/>
  <c r="G4" i="15"/>
  <c r="B36" i="1"/>
  <c r="C36" i="1"/>
  <c r="B37" i="1"/>
  <c r="C37" i="1"/>
  <c r="B55" i="1"/>
  <c r="C55" i="1"/>
  <c r="B67" i="1"/>
  <c r="C67" i="1"/>
  <c r="B38" i="1"/>
  <c r="C38" i="1"/>
  <c r="B30" i="1"/>
  <c r="C30" i="1"/>
  <c r="B40" i="1"/>
  <c r="C40" i="1"/>
  <c r="B63" i="1"/>
  <c r="C63" i="1"/>
  <c r="C9" i="15"/>
  <c r="B14" i="15"/>
  <c r="B15" i="15"/>
  <c r="B96" i="1"/>
  <c r="C96" i="1"/>
  <c r="B53" i="1"/>
  <c r="C53" i="1"/>
  <c r="B35" i="1"/>
  <c r="C35" i="1"/>
  <c r="B95" i="1"/>
  <c r="C95" i="1"/>
  <c r="B82" i="1"/>
  <c r="C82" i="1"/>
  <c r="B56" i="1"/>
  <c r="C56" i="1"/>
  <c r="B50" i="1"/>
  <c r="C50" i="1"/>
  <c r="B77" i="1"/>
  <c r="C77" i="1"/>
  <c r="B74" i="1"/>
  <c r="C74" i="1"/>
  <c r="B17" i="15"/>
  <c r="B16" i="15"/>
  <c r="B104" i="1"/>
  <c r="C104" i="1"/>
  <c r="B78" i="1"/>
  <c r="C78" i="1"/>
  <c r="B60" i="1"/>
  <c r="C60" i="1"/>
  <c r="B97" i="1"/>
  <c r="C97" i="1"/>
  <c r="B98" i="1"/>
  <c r="C98" i="1"/>
  <c r="B103" i="1"/>
  <c r="C103" i="1"/>
  <c r="B64" i="1"/>
  <c r="C64" i="1"/>
  <c r="B49" i="1"/>
  <c r="C49" i="1"/>
  <c r="B20" i="1"/>
  <c r="C20" i="1"/>
  <c r="B28" i="1"/>
  <c r="C28" i="1"/>
  <c r="B32" i="1"/>
  <c r="C32" i="1"/>
  <c r="B19" i="1"/>
  <c r="C19" i="1"/>
  <c r="B24" i="1"/>
  <c r="C24" i="1"/>
  <c r="B22" i="1"/>
  <c r="C22" i="1"/>
  <c r="C12" i="1"/>
  <c r="B12" i="1"/>
  <c r="C8" i="1"/>
  <c r="B8" i="1"/>
  <c r="B11" i="1"/>
  <c r="C11" i="1"/>
  <c r="B14" i="1"/>
  <c r="C14" i="1"/>
  <c r="B18" i="15"/>
  <c r="B19" i="15"/>
  <c r="B73" i="1"/>
  <c r="C73" i="1"/>
  <c r="B23" i="1"/>
  <c r="C23" i="1"/>
  <c r="B99" i="1"/>
  <c r="C99" i="1"/>
  <c r="B27" i="1"/>
  <c r="C27" i="1"/>
  <c r="B52" i="1"/>
  <c r="C52" i="1"/>
  <c r="B45" i="1"/>
  <c r="C45" i="1"/>
  <c r="B33" i="1"/>
  <c r="C33" i="1"/>
  <c r="B41" i="1"/>
  <c r="C41" i="1"/>
  <c r="B21" i="1"/>
  <c r="C21" i="1"/>
  <c r="B9" i="1"/>
  <c r="C9" i="1"/>
  <c r="B10" i="1"/>
  <c r="C10" i="1"/>
  <c r="C7" i="1"/>
  <c r="B7" i="1"/>
  <c r="B13" i="1"/>
  <c r="C13" i="1"/>
  <c r="B39" i="1"/>
  <c r="C39" i="1"/>
  <c r="B42" i="1"/>
  <c r="C42" i="1"/>
  <c r="B46" i="1"/>
  <c r="C46" i="1"/>
  <c r="B44" i="1"/>
  <c r="C44" i="1"/>
  <c r="B29" i="1"/>
  <c r="C29" i="1"/>
  <c r="B25" i="1"/>
  <c r="C25" i="1"/>
  <c r="B80" i="1"/>
  <c r="C80" i="1"/>
  <c r="B83" i="1"/>
  <c r="C83" i="1"/>
  <c r="B66" i="1"/>
  <c r="C66" i="1"/>
  <c r="B72" i="1"/>
  <c r="C72" i="1"/>
  <c r="B84" i="1"/>
  <c r="C84" i="1"/>
  <c r="C6" i="1"/>
  <c r="B6" i="1"/>
  <c r="B70" i="1"/>
  <c r="C70" i="1"/>
  <c r="B65" i="1"/>
  <c r="C65" i="1"/>
  <c r="B59" i="1"/>
  <c r="C59" i="1"/>
  <c r="B47" i="1"/>
  <c r="C47" i="1"/>
  <c r="B101" i="1"/>
  <c r="C101" i="1"/>
  <c r="B94" i="1"/>
  <c r="C94" i="1"/>
  <c r="B62" i="1"/>
  <c r="C62" i="1"/>
  <c r="B51" i="1"/>
  <c r="C51" i="1"/>
  <c r="B58" i="1"/>
  <c r="C58" i="1"/>
  <c r="B69" i="1"/>
  <c r="C69" i="1"/>
  <c r="B43" i="1"/>
  <c r="C43" i="1"/>
  <c r="B57" i="1"/>
  <c r="C57" i="1"/>
  <c r="B48" i="1"/>
  <c r="C48" i="1"/>
  <c r="B106" i="1"/>
  <c r="C106" i="1"/>
  <c r="B107" i="1"/>
  <c r="C107" i="1"/>
  <c r="B108" i="1"/>
  <c r="C108" i="1"/>
  <c r="B92" i="1"/>
  <c r="C92" i="1"/>
  <c r="B93" i="1"/>
  <c r="C93" i="1"/>
  <c r="B100" i="1"/>
  <c r="C100" i="1"/>
  <c r="B102" i="1"/>
  <c r="C102" i="1"/>
  <c r="B88" i="1"/>
  <c r="C88" i="1"/>
  <c r="B89" i="1"/>
  <c r="C89" i="1"/>
  <c r="B90" i="1"/>
  <c r="C90" i="1"/>
  <c r="B86" i="1"/>
  <c r="C86" i="1"/>
  <c r="B76" i="1"/>
  <c r="C76" i="1"/>
  <c r="B79" i="1"/>
  <c r="C79" i="1"/>
  <c r="B81" i="1"/>
  <c r="C81" i="1"/>
  <c r="C91" i="1"/>
  <c r="B91" i="1"/>
  <c r="B105" i="1"/>
  <c r="C105" i="1"/>
  <c r="B110" i="1"/>
  <c r="C110" i="1"/>
  <c r="B111" i="1"/>
  <c r="C111" i="1"/>
  <c r="B112" i="1"/>
  <c r="C112" i="1"/>
  <c r="B113" i="1"/>
  <c r="C113" i="1"/>
  <c r="B114" i="1"/>
  <c r="C114" i="1"/>
  <c r="B115" i="1"/>
  <c r="C115" i="1"/>
  <c r="B116" i="1"/>
  <c r="C116" i="1"/>
  <c r="B71" i="1"/>
  <c r="C71" i="1"/>
  <c r="C31" i="1"/>
  <c r="B31" i="1"/>
  <c r="C68" i="1"/>
  <c r="B68" i="1"/>
  <c r="B15" i="1"/>
  <c r="C15" i="1"/>
  <c r="B16" i="1"/>
  <c r="C16" i="1"/>
  <c r="B17" i="1"/>
  <c r="C17" i="1"/>
  <c r="B18" i="1"/>
  <c r="C18" i="1"/>
  <c r="B26" i="1"/>
  <c r="C26" i="1"/>
  <c r="B34" i="1"/>
  <c r="C34" i="1"/>
  <c r="B54" i="1"/>
  <c r="C54" i="1"/>
  <c r="B61" i="1"/>
  <c r="C61" i="1"/>
  <c r="B75" i="1"/>
  <c r="C75" i="1"/>
  <c r="B85" i="1"/>
  <c r="C85" i="1"/>
  <c r="B87" i="1"/>
  <c r="C87" i="1"/>
  <c r="B109" i="1"/>
  <c r="C109" i="1"/>
  <c r="C3" i="1"/>
  <c r="D3" i="1"/>
  <c r="D2" i="7"/>
  <c r="B16" i="7"/>
  <c r="B15" i="7"/>
  <c r="B6" i="7"/>
  <c r="B7" i="7"/>
  <c r="B9" i="7"/>
  <c r="G25" i="2"/>
  <c r="B17" i="7"/>
  <c r="B8" i="7"/>
  <c r="B10" i="7"/>
  <c r="B13" i="6"/>
  <c r="G19" i="2"/>
  <c r="H18" i="2"/>
  <c r="G17" i="2"/>
  <c r="D2" i="1"/>
  <c r="B18" i="7"/>
  <c r="B11" i="7"/>
  <c r="B12" i="7"/>
  <c r="B16" i="6"/>
  <c r="B15" i="6"/>
  <c r="B14" i="6"/>
  <c r="B12" i="4"/>
  <c r="B15" i="4"/>
  <c r="B19" i="7"/>
  <c r="B17" i="6"/>
  <c r="B18" i="6"/>
  <c r="B13" i="4"/>
  <c r="B14" i="4"/>
  <c r="B16" i="4"/>
  <c r="B17" i="4"/>
  <c r="B20" i="7"/>
  <c r="B22" i="7"/>
  <c r="B21" i="7"/>
  <c r="B23" i="7"/>
  <c r="B24" i="7"/>
  <c r="B25" i="7"/>
  <c r="B27" i="7"/>
  <c r="G23" i="2"/>
  <c r="F16" i="2"/>
  <c r="B14" i="2"/>
  <c r="B17" i="2"/>
  <c r="B16" i="2"/>
  <c r="B15" i="2"/>
  <c r="B18" i="2"/>
  <c r="B19" i="2"/>
</calcChain>
</file>

<file path=xl/comments1.xml><?xml version="1.0" encoding="utf-8"?>
<comments xmlns="http://schemas.openxmlformats.org/spreadsheetml/2006/main">
  <authors>
    <author>Diego Guevara</author>
    <author>diego Guevara</author>
  </authors>
  <commentList>
    <comment ref="F50" authorId="0">
      <text>
        <r>
          <rPr>
            <sz val="9"/>
            <color indexed="81"/>
            <rFont val="Tahoma"/>
            <family val="2"/>
          </rPr>
          <t xml:space="preserve">Se restó la totalidad del valor patrimonial neto de esos activos suponiendo que no pudieron generar renta durante ningún mes del año </t>
        </r>
        <r>
          <rPr>
            <sz val="9"/>
            <color indexed="10"/>
            <rFont val="Tahoma"/>
            <family val="2"/>
          </rPr>
          <t>ANTERIOR.</t>
        </r>
        <r>
          <rPr>
            <sz val="9"/>
            <color indexed="81"/>
            <rFont val="Tahoma"/>
            <family val="2"/>
          </rPr>
          <t xml:space="preserve"> Pero si fueron bienes que dejaron de participar en la generación de la renta solo durante algunos meses del año </t>
        </r>
        <r>
          <rPr>
            <sz val="9"/>
            <color indexed="10"/>
            <rFont val="Tahoma"/>
            <family val="2"/>
          </rPr>
          <t>ANTERIOR</t>
        </r>
        <r>
          <rPr>
            <sz val="9"/>
            <color indexed="81"/>
            <rFont val="Tahoma"/>
            <family val="2"/>
          </rPr>
          <t>, entonces en ese caso solo se resta el valor proporcional que corresponda a esos meses en los cuales no estuvo participando en la generación de las rentas. Para esos casos, el valor inicial se dividiría entre 12 meses y se multiplica por los meses en que no participó en generar rentas (ver literal b del art. 189 del E.T.)</t>
        </r>
      </text>
    </comment>
    <comment ref="F69" authorId="0">
      <text>
        <r>
          <rPr>
            <sz val="9"/>
            <color indexed="81"/>
            <rFont val="Tahoma"/>
            <family val="2"/>
          </rPr>
          <t>Si la base es negativa, este dato se toma como cero</t>
        </r>
      </text>
    </comment>
    <comment ref="E70" authorId="1">
      <text>
        <r>
          <rPr>
            <sz val="9"/>
            <color indexed="81"/>
            <rFont val="Arial"/>
            <family val="2"/>
          </rPr>
          <t>Si en la depuración del patrimonio no se hubieran restado el valor neto de las acciones y/o cuotas en sociedades nacionales, entonces aquí no se sumaría ningún valor. Por tanto, a cada quien le corresponde tomar la decisión de si le conviene o no restar un determinado activo (pues es opcional hacerlo) ya que cuando lo reste, entonces en este punto tendrá que sumar las rentas gravadas obtenidas durante el año gravable con dicho activo</t>
        </r>
      </text>
    </comment>
  </commentList>
</comments>
</file>

<file path=xl/sharedStrings.xml><?xml version="1.0" encoding="utf-8"?>
<sst xmlns="http://schemas.openxmlformats.org/spreadsheetml/2006/main" count="242" uniqueCount="129">
  <si>
    <t>UVT</t>
  </si>
  <si>
    <t>Salario</t>
  </si>
  <si>
    <t>Prestaciones</t>
  </si>
  <si>
    <t>Subtotal</t>
  </si>
  <si>
    <t>INCRNGO</t>
  </si>
  <si>
    <t>Neto Ingresos</t>
  </si>
  <si>
    <t>Limite</t>
  </si>
  <si>
    <t>Renta Exenta</t>
  </si>
  <si>
    <t>Deducciones</t>
  </si>
  <si>
    <t>Aceptable</t>
  </si>
  <si>
    <t>Neto Cedula</t>
  </si>
  <si>
    <t>Intereses</t>
  </si>
  <si>
    <t>Rango</t>
  </si>
  <si>
    <t>Porcentaje</t>
  </si>
  <si>
    <t>UVT-</t>
  </si>
  <si>
    <t>UVT+</t>
  </si>
  <si>
    <t>porcentaje</t>
  </si>
  <si>
    <t>UVT menos</t>
  </si>
  <si>
    <t>UVT mas</t>
  </si>
  <si>
    <t>Fomula</t>
  </si>
  <si>
    <t>Valor</t>
  </si>
  <si>
    <t>Ingresos</t>
  </si>
  <si>
    <t>Primas</t>
  </si>
  <si>
    <t>Cesantias</t>
  </si>
  <si>
    <t xml:space="preserve">Intereses </t>
  </si>
  <si>
    <t>vacaciones</t>
  </si>
  <si>
    <t>Pensión Obligatoria</t>
  </si>
  <si>
    <t>Salud Prepagada</t>
  </si>
  <si>
    <t>Dependientes</t>
  </si>
  <si>
    <t>Intereses Vivienda</t>
  </si>
  <si>
    <t>Pensión Voluntaria</t>
  </si>
  <si>
    <t>Rentas Exentas</t>
  </si>
  <si>
    <t>Fondo Solidaridad</t>
  </si>
  <si>
    <t>Art 387</t>
  </si>
  <si>
    <t>Pensión Exenta</t>
  </si>
  <si>
    <t>Promedio</t>
  </si>
  <si>
    <t>Ingresos Brutos</t>
  </si>
  <si>
    <t>Arrendamientos</t>
  </si>
  <si>
    <t>Regalías</t>
  </si>
  <si>
    <t>Componente Inf.</t>
  </si>
  <si>
    <t>Reparaciones</t>
  </si>
  <si>
    <t>Salud Obligatoria</t>
  </si>
  <si>
    <t>Art. 56</t>
  </si>
  <si>
    <t>Art. 55</t>
  </si>
  <si>
    <t>Art. 126-1</t>
  </si>
  <si>
    <t>Art. 206 Num. 10</t>
  </si>
  <si>
    <t>Ahorros AFC</t>
  </si>
  <si>
    <t>Art. 126-4</t>
  </si>
  <si>
    <t>Base para límite</t>
  </si>
  <si>
    <t>Artículo 241 Inciso 1  Rentas de Trabajo y Pensiones</t>
  </si>
  <si>
    <t>Artículo 241 Inciso 2 Rentas de Capital y No Laborales</t>
  </si>
  <si>
    <t>Artículo 383 Retefuente Asalariados</t>
  </si>
  <si>
    <t>Cesantías</t>
  </si>
  <si>
    <t>Intereses Cesantias</t>
  </si>
  <si>
    <t>Art. 206 Num. 5</t>
  </si>
  <si>
    <t>Honorarios</t>
  </si>
  <si>
    <t>Gananciales</t>
  </si>
  <si>
    <t>Herencia</t>
  </si>
  <si>
    <t>Empleados</t>
  </si>
  <si>
    <t>Herencias</t>
  </si>
  <si>
    <t>Dividendos</t>
  </si>
  <si>
    <t>Parte Gravable</t>
  </si>
  <si>
    <t>Parte NO Gravable</t>
  </si>
  <si>
    <t>Art. 49 Num. 3</t>
  </si>
  <si>
    <t>Subcedula 1</t>
  </si>
  <si>
    <t>Parte No Gravable</t>
  </si>
  <si>
    <t>Subcedula 2</t>
  </si>
  <si>
    <t>Tarifa</t>
  </si>
  <si>
    <t>Impuesto</t>
  </si>
  <si>
    <t>Valor UVT</t>
  </si>
  <si>
    <t>Año</t>
  </si>
  <si>
    <t>Cantidad UVT</t>
  </si>
  <si>
    <t>Pension</t>
  </si>
  <si>
    <t>Pensión</t>
  </si>
  <si>
    <t>Art. 241 Inc. 1</t>
  </si>
  <si>
    <t>Cédula para Rentas de Trabajo</t>
  </si>
  <si>
    <t>Cédula para Rentas de Capital</t>
  </si>
  <si>
    <t>Cédula para Rentas de Pensiones</t>
  </si>
  <si>
    <t>Cédula para Rentas No Laborales</t>
  </si>
  <si>
    <t>Subtotal Impuesto</t>
  </si>
  <si>
    <t>Valor total Impuesto</t>
  </si>
  <si>
    <t>Renta Líquida Cedular</t>
  </si>
  <si>
    <t>Renta Presuntiva</t>
  </si>
  <si>
    <t>Bienes</t>
  </si>
  <si>
    <t xml:space="preserve">   Efectivo</t>
  </si>
  <si>
    <t xml:space="preserve">   Los aportes voluntarios a fondos de pensiones</t>
  </si>
  <si>
    <t xml:space="preserve">   Cuentas por cobrar</t>
  </si>
  <si>
    <t xml:space="preserve">   Bonos obligatorios (ley 345/96, ley 487/98)</t>
  </si>
  <si>
    <r>
      <t xml:space="preserve">   Acciones en sociedades </t>
    </r>
    <r>
      <rPr>
        <b/>
        <sz val="10"/>
        <color indexed="10"/>
        <rFont val="Verdana"/>
        <family val="2"/>
      </rPr>
      <t>nacionales</t>
    </r>
  </si>
  <si>
    <r>
      <t xml:space="preserve">   Acciones en sociedades del</t>
    </r>
    <r>
      <rPr>
        <sz val="10"/>
        <color indexed="12"/>
        <rFont val="Verdana"/>
        <family val="2"/>
      </rPr>
      <t xml:space="preserve"> exterior</t>
    </r>
  </si>
  <si>
    <t xml:space="preserve">   Inventarios de Mercancías</t>
  </si>
  <si>
    <t xml:space="preserve">   Fincas, maquinarias e inventarios destinadas al sector agricola</t>
  </si>
  <si>
    <t xml:space="preserve">   Bienes raíces- casa de habitación</t>
  </si>
  <si>
    <t xml:space="preserve">   Los demás bienes raíces</t>
  </si>
  <si>
    <t xml:space="preserve">   Muebles y enseres, vehículos</t>
  </si>
  <si>
    <t xml:space="preserve">   Activos de varias clases, pero empleados para generar las rentas de que tratan los numerales 1,2,3,6 y 9  el art.207-2 (ver numeral 13 del art.191 del ET)</t>
  </si>
  <si>
    <t xml:space="preserve">  </t>
  </si>
  <si>
    <t xml:space="preserve">    </t>
  </si>
  <si>
    <t xml:space="preserve">   Deudas</t>
  </si>
  <si>
    <t xml:space="preserve">     De todo tipo</t>
  </si>
  <si>
    <r>
      <t xml:space="preserve">El valor </t>
    </r>
    <r>
      <rPr>
        <b/>
        <sz val="10"/>
        <color indexed="10"/>
        <rFont val="Verdana"/>
        <family val="2"/>
      </rPr>
      <t>patrimonial neto</t>
    </r>
    <r>
      <rPr>
        <b/>
        <sz val="10"/>
        <rFont val="Verdana"/>
        <family val="2"/>
      </rPr>
      <t xml:space="preserve"> de los activos era:</t>
    </r>
  </si>
  <si>
    <r>
      <t xml:space="preserve">Menos: Valor patrimonial </t>
    </r>
    <r>
      <rPr>
        <sz val="10"/>
        <color indexed="10"/>
        <rFont val="Verdana"/>
        <family val="2"/>
      </rPr>
      <t>neto</t>
    </r>
    <r>
      <rPr>
        <sz val="10"/>
        <rFont val="Verdana"/>
        <family val="2"/>
      </rPr>
      <t xml:space="preserve"> (o bruto) de activos que se excluyen de renta presuntiva</t>
    </r>
  </si>
  <si>
    <t>La totalidad del valor patrimonial neto de Acciones y aportes en sociedades nacionales</t>
  </si>
  <si>
    <t xml:space="preserve">   El valor patrimonial neto de los activos afectados por hechos fortuitos o causa mayor</t>
  </si>
  <si>
    <t>Menos:</t>
  </si>
  <si>
    <r>
      <t>La totalidad del valor patrimonial</t>
    </r>
    <r>
      <rPr>
        <sz val="10"/>
        <color indexed="10"/>
        <rFont val="Verdana"/>
        <family val="2"/>
      </rPr>
      <t xml:space="preserve"> bruto</t>
    </r>
    <r>
      <rPr>
        <sz val="10"/>
        <rFont val="Verdana"/>
        <family val="2"/>
      </rPr>
      <t xml:space="preserve"> de:</t>
    </r>
  </si>
  <si>
    <t xml:space="preserve">   La totalidad del valor patrimonial bruto de los activos empleados para  generar las rentas de que trata los numerales 1,2,3,6 y 9 del art.207-2 (ver numeral 13 del    art.191 del ET)</t>
  </si>
  <si>
    <r>
      <t xml:space="preserve">   La totalidad del valor patrimonial</t>
    </r>
    <r>
      <rPr>
        <sz val="10"/>
        <color indexed="10"/>
        <rFont val="Verdana"/>
        <family val="2"/>
      </rPr>
      <t xml:space="preserve"> bruto</t>
    </r>
    <r>
      <rPr>
        <sz val="10"/>
        <rFont val="Verdana"/>
        <family val="2"/>
      </rPr>
      <t xml:space="preserve"> de    Bonos obligatorios (ley 345/96, ley 487/98)</t>
    </r>
  </si>
  <si>
    <t>Base</t>
  </si>
  <si>
    <t xml:space="preserve">        </t>
  </si>
  <si>
    <t>Total patrimonio bruto a dic. AÑO ANTERIOR</t>
  </si>
  <si>
    <t>Total patrimonio liquido a dic. AÑO ANTERIOR</t>
  </si>
  <si>
    <t xml:space="preserve">   Activos afectados por hechos fortuitos o causa  mayor  (y que por ende no pudieron participar en producir rentas durante el AÑO ANTERIOR)</t>
  </si>
  <si>
    <t>Patrimonio Líquido a dic. 31 del PRESENTE EJERCICIO</t>
  </si>
  <si>
    <t>CALCULO RENTA PRESUNTIVA PARA EL PRESENTE EJERCICIO</t>
  </si>
  <si>
    <t xml:space="preserve">   La totalidad del valor patrimonial neto de activos destinados a actividades no explotadas durante el año ANTERIOR ("empresa improductiva")</t>
  </si>
  <si>
    <r>
      <t>Hasta los primeros 8.000 UVT (Valor patrimonial bruto de la casa de habitación (</t>
    </r>
    <r>
      <rPr>
        <sz val="10"/>
        <color indexed="10"/>
        <rFont val="Verdana"/>
        <family val="2"/>
      </rPr>
      <t>Nota: Según el concepto DIAN 080289 de Octubre 1 de 2009, a pesar de que se parte del patrimonio líquido, estos activos se restan por su valor bruto-sin exceder el limite antes indicado- y sin importar que con eso la base final de la Renta presuntiva se pueda volver negativa)</t>
    </r>
  </si>
  <si>
    <r>
      <t>Hasta los primeros 19.000 UVT del valor patrimonial bruto de los activos destinados al sector agropecuario</t>
    </r>
    <r>
      <rPr>
        <sz val="10"/>
        <color indexed="10"/>
        <rFont val="Verdana"/>
        <family val="2"/>
      </rPr>
      <t xml:space="preserve"> (Nota: Según el concepto DIAN 080289 de Octubre 1 de 2009, a pesar de que se parte del patrimonio líquido, estos activos se restan por su valor bruto-sin exceder el limite antes indicado- y sin importar que con eso la base final de la Renta presuntiva se pueda volver negativa)</t>
    </r>
  </si>
  <si>
    <t xml:space="preserve">  La totalidad del valor patrimonial bruto de los aportes voluntarios en fondos de pensiones (ver sentencia Consejo de Estado junio de 2011 expediente 18024 donde interpretó el art. 135 de la ley 100 de 1993 y declaró nulos varios apartes de los conceptos DIAN  008755 de Febrero 17 de 2005 y 017628 de Febrero 28 de 2006)</t>
  </si>
  <si>
    <t xml:space="preserve">   Activos destinados a actividades no explotadas durante el año ANTERIOR ("empresa improductiva"; ver C.E., Sec. Cuarta, Sent. feb. 21/2005, Exp. 14110. M.P. Ligia López Díaz)</t>
  </si>
  <si>
    <t>Renta presuntiva definitiva PRESENTE EJERCICIO</t>
  </si>
  <si>
    <t>Exceso de RP sobre RL</t>
  </si>
  <si>
    <t>Rentas No Laboral</t>
  </si>
  <si>
    <t>Costos</t>
  </si>
  <si>
    <t>Recálculo de la Cedula de No Laborales</t>
  </si>
  <si>
    <t>Efecto de la Renta Presuntiva</t>
  </si>
  <si>
    <t>Más : Rentas netas gravables que durante el AÑO ANTERIOR hayan producido los activos excluidos del cálculo</t>
  </si>
  <si>
    <t xml:space="preserve">   Ej.: Los dividendos gravables recibidos durante el AÑO ANTERIOR de parte de las sociedades nacionales donde se poseían las acciones</t>
  </si>
  <si>
    <t>CALCULO DE LA RENTA PRESUNTIVA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</si>
</sst>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6" formatCode="_(* #,##0.00_);_(* \(#,##0.00\);_(* &quot;-&quot;??_);_(@_)"/>
    <numFmt numFmtId="178" formatCode="_-* #,##0.000_-;\-* #,##0.000_-;_-* &quot;-&quot;_-;_-@_-"/>
    <numFmt numFmtId="179" formatCode="_-* #,##0.0_-;\-* #,##0.0_-;_-* &quot;-&quot;_-;_-@_-"/>
    <numFmt numFmtId="180" formatCode="_-* #,##0.0000_-;\-* #,##0.0000_-;_-* &quot;-&quot;_-;_-@_-"/>
    <numFmt numFmtId="181" formatCode="_-* #,##0\ _P_t_a_-;\-* #,##0\ _P_t_a_-;_-* &quot;-&quot;\ _P_t_a_-;_-@_-"/>
    <numFmt numFmtId="182" formatCode="#,##0;[Red]\(#,##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FF0000"/>
      <name val="Calibri"/>
      <family val="2"/>
      <scheme val="minor"/>
    </font>
    <font>
      <b/>
      <sz val="12"/>
      <color theme="1"/>
      <name val="Calibri"/>
      <family val="2"/>
      <scheme val="minor"/>
    </font>
    <font>
      <b/>
      <i/>
      <sz val="12"/>
      <color rgb="FFFF0000"/>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sz val="12"/>
      <color rgb="FFFF0000"/>
      <name val="Calibri"/>
      <family val="2"/>
      <scheme val="minor"/>
    </font>
    <font>
      <b/>
      <sz val="12"/>
      <color theme="0"/>
      <name val="Calibri"/>
      <family val="2"/>
      <scheme val="minor"/>
    </font>
    <font>
      <b/>
      <u/>
      <sz val="10"/>
      <name val="Verdana"/>
      <family val="2"/>
    </font>
    <font>
      <sz val="10"/>
      <name val="Verdana"/>
      <family val="2"/>
    </font>
    <font>
      <sz val="10"/>
      <name val="Arial"/>
      <family val="2"/>
    </font>
    <font>
      <b/>
      <sz val="10"/>
      <color indexed="10"/>
      <name val="Verdana"/>
      <family val="2"/>
    </font>
    <font>
      <sz val="10"/>
      <color indexed="12"/>
      <name val="Verdana"/>
      <family val="2"/>
    </font>
    <font>
      <b/>
      <sz val="10"/>
      <name val="Verdana"/>
      <family val="2"/>
    </font>
    <font>
      <sz val="10"/>
      <color indexed="10"/>
      <name val="Verdana"/>
      <family val="2"/>
    </font>
    <font>
      <sz val="9"/>
      <color indexed="81"/>
      <name val="Tahoma"/>
      <family val="2"/>
    </font>
    <font>
      <sz val="9"/>
      <color indexed="10"/>
      <name val="Tahoma"/>
      <family val="2"/>
    </font>
    <font>
      <sz val="9"/>
      <color indexed="81"/>
      <name val="Arial"/>
      <family val="2"/>
    </font>
    <font>
      <u/>
      <sz val="11"/>
      <color theme="11"/>
      <name val="Calibri"/>
      <family val="2"/>
      <scheme val="minor"/>
    </font>
    <font>
      <b/>
      <sz val="12"/>
      <color rgb="FFFF0000"/>
      <name val="Calibri"/>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indexed="1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81" fontId="1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92">
    <xf numFmtId="0" fontId="0" fillId="0" borderId="0" xfId="0"/>
    <xf numFmtId="41" fontId="0" fillId="0" borderId="0" xfId="1" applyFont="1"/>
    <xf numFmtId="0" fontId="2" fillId="0" borderId="0" xfId="0" applyFont="1"/>
    <xf numFmtId="41" fontId="2" fillId="0" borderId="0" xfId="1" applyFont="1"/>
    <xf numFmtId="9" fontId="0" fillId="0" borderId="0" xfId="0" applyNumberFormat="1"/>
    <xf numFmtId="0" fontId="0" fillId="0" borderId="0" xfId="0" applyAlignment="1">
      <alignment horizontal="center"/>
    </xf>
    <xf numFmtId="9" fontId="0" fillId="0" borderId="0" xfId="2" applyFont="1"/>
    <xf numFmtId="43" fontId="0" fillId="0" borderId="0" xfId="1" applyNumberFormat="1" applyFont="1"/>
    <xf numFmtId="0" fontId="3" fillId="0" borderId="0" xfId="0" applyFont="1"/>
    <xf numFmtId="41" fontId="0" fillId="0" borderId="0" xfId="0" applyNumberFormat="1"/>
    <xf numFmtId="9" fontId="0" fillId="0" borderId="0" xfId="1" applyNumberFormat="1" applyFont="1"/>
    <xf numFmtId="41" fontId="3" fillId="0" borderId="0" xfId="1" applyFont="1"/>
    <xf numFmtId="41" fontId="3" fillId="0" borderId="0" xfId="0" applyNumberFormat="1" applyFont="1"/>
    <xf numFmtId="0" fontId="3" fillId="2" borderId="0" xfId="0" applyFont="1" applyFill="1"/>
    <xf numFmtId="41" fontId="3" fillId="2" borderId="0" xfId="1" applyFont="1" applyFill="1"/>
    <xf numFmtId="0" fontId="4" fillId="0" borderId="0" xfId="0" applyFont="1"/>
    <xf numFmtId="0" fontId="5" fillId="0" borderId="0" xfId="0" applyFont="1"/>
    <xf numFmtId="0" fontId="6" fillId="0" borderId="0" xfId="0" applyFont="1"/>
    <xf numFmtId="0" fontId="0" fillId="4" borderId="0" xfId="0" applyFill="1"/>
    <xf numFmtId="0" fontId="3" fillId="0" borderId="0" xfId="0" applyFont="1" applyAlignment="1">
      <alignment horizontal="center"/>
    </xf>
    <xf numFmtId="41" fontId="3" fillId="3" borderId="0" xfId="1" applyFont="1" applyFill="1"/>
    <xf numFmtId="178" fontId="0" fillId="0" borderId="0" xfId="1" applyNumberFormat="1" applyFont="1"/>
    <xf numFmtId="179" fontId="0" fillId="0" borderId="0" xfId="1" applyNumberFormat="1" applyFont="1"/>
    <xf numFmtId="180" fontId="0" fillId="0" borderId="0" xfId="1" applyNumberFormat="1" applyFont="1"/>
    <xf numFmtId="41" fontId="3" fillId="0" borderId="0" xfId="1" applyFont="1" applyAlignment="1">
      <alignment horizontal="center"/>
    </xf>
    <xf numFmtId="41" fontId="7" fillId="5" borderId="0" xfId="1" applyFont="1" applyFill="1"/>
    <xf numFmtId="0" fontId="8" fillId="0" borderId="0" xfId="0" applyFont="1"/>
    <xf numFmtId="0" fontId="9" fillId="0" borderId="0" xfId="0" applyFont="1"/>
    <xf numFmtId="41" fontId="9" fillId="0" borderId="0" xfId="1" applyFont="1"/>
    <xf numFmtId="0" fontId="0" fillId="0" borderId="0" xfId="0" applyFont="1"/>
    <xf numFmtId="41" fontId="9" fillId="4" borderId="0" xfId="1" applyFont="1" applyFill="1"/>
    <xf numFmtId="41" fontId="5" fillId="0" borderId="0" xfId="1" applyFont="1"/>
    <xf numFmtId="0" fontId="10" fillId="0" borderId="0" xfId="0" applyFont="1"/>
    <xf numFmtId="41" fontId="10" fillId="0" borderId="0" xfId="1" applyFont="1"/>
    <xf numFmtId="41" fontId="11" fillId="5" borderId="0" xfId="1" applyFont="1" applyFill="1"/>
    <xf numFmtId="0" fontId="5" fillId="2" borderId="0" xfId="0" applyFont="1" applyFill="1"/>
    <xf numFmtId="41" fontId="5" fillId="2" borderId="0" xfId="1" applyFont="1" applyFill="1"/>
    <xf numFmtId="9" fontId="9" fillId="0" borderId="0" xfId="2" applyFont="1"/>
    <xf numFmtId="43" fontId="9" fillId="0" borderId="0" xfId="1" applyNumberFormat="1" applyFont="1"/>
    <xf numFmtId="9" fontId="9" fillId="0" borderId="0" xfId="1" applyNumberFormat="1" applyFont="1"/>
    <xf numFmtId="41" fontId="5" fillId="3" borderId="0" xfId="1" applyFont="1" applyFill="1"/>
    <xf numFmtId="3" fontId="12" fillId="0" borderId="1" xfId="0" applyNumberFormat="1" applyFont="1" applyFill="1" applyBorder="1" applyAlignment="1">
      <alignment horizontal="left"/>
    </xf>
    <xf numFmtId="0" fontId="13" fillId="0" borderId="1" xfId="0" applyFont="1" applyBorder="1"/>
    <xf numFmtId="3" fontId="13" fillId="0" borderId="1" xfId="0" applyNumberFormat="1" applyFont="1" applyFill="1" applyBorder="1" applyAlignment="1">
      <alignment horizontal="left"/>
    </xf>
    <xf numFmtId="3" fontId="13" fillId="0" borderId="1" xfId="6" applyNumberFormat="1" applyFont="1" applyBorder="1"/>
    <xf numFmtId="3" fontId="13" fillId="0" borderId="2" xfId="0" applyNumberFormat="1" applyFont="1" applyFill="1" applyBorder="1" applyAlignment="1">
      <alignment horizontal="left"/>
    </xf>
    <xf numFmtId="0" fontId="13" fillId="0" borderId="3" xfId="0" applyFont="1" applyBorder="1"/>
    <xf numFmtId="0" fontId="17" fillId="0" borderId="3" xfId="0" applyFont="1" applyBorder="1" applyAlignment="1">
      <alignment horizontal="right"/>
    </xf>
    <xf numFmtId="3" fontId="17" fillId="0" borderId="1" xfId="6" applyNumberFormat="1" applyFont="1" applyBorder="1"/>
    <xf numFmtId="3" fontId="12" fillId="0" borderId="2" xfId="0" applyNumberFormat="1" applyFont="1" applyFill="1" applyBorder="1" applyAlignment="1">
      <alignment horizontal="left"/>
    </xf>
    <xf numFmtId="3" fontId="13" fillId="0" borderId="2" xfId="0" applyNumberFormat="1" applyFont="1" applyBorder="1" applyAlignment="1">
      <alignment horizontal="left"/>
    </xf>
    <xf numFmtId="3" fontId="13" fillId="0" borderId="3" xfId="6" applyNumberFormat="1" applyFont="1" applyBorder="1"/>
    <xf numFmtId="3" fontId="17" fillId="0" borderId="2" xfId="0" applyNumberFormat="1" applyFont="1" applyBorder="1" applyAlignment="1">
      <alignment horizontal="left"/>
    </xf>
    <xf numFmtId="10" fontId="17" fillId="0" borderId="3" xfId="2" applyNumberFormat="1" applyFont="1" applyBorder="1"/>
    <xf numFmtId="10" fontId="17" fillId="0" borderId="1" xfId="2" applyNumberFormat="1" applyFont="1" applyBorder="1"/>
    <xf numFmtId="3" fontId="13" fillId="0" borderId="1" xfId="0" applyNumberFormat="1" applyFont="1" applyBorder="1"/>
    <xf numFmtId="3" fontId="13" fillId="0" borderId="2" xfId="0" applyNumberFormat="1" applyFont="1" applyBorder="1" applyAlignment="1">
      <alignment horizontal="left" indent="1"/>
    </xf>
    <xf numFmtId="182" fontId="13" fillId="0" borderId="1" xfId="0" applyNumberFormat="1" applyFont="1" applyBorder="1"/>
    <xf numFmtId="3" fontId="13" fillId="0" borderId="2" xfId="0" applyNumberFormat="1" applyFont="1" applyBorder="1" applyAlignment="1">
      <alignment horizontal="center"/>
    </xf>
    <xf numFmtId="3" fontId="13" fillId="0" borderId="3" xfId="6" applyNumberFormat="1" applyFont="1" applyBorder="1" applyAlignment="1">
      <alignment horizontal="justify" vertical="top"/>
    </xf>
    <xf numFmtId="3" fontId="13" fillId="0" borderId="3" xfId="0" applyNumberFormat="1" applyFont="1" applyFill="1" applyBorder="1" applyAlignment="1">
      <alignment horizontal="left"/>
    </xf>
    <xf numFmtId="182" fontId="13" fillId="0" borderId="8" xfId="0" applyNumberFormat="1" applyFont="1" applyBorder="1"/>
    <xf numFmtId="3" fontId="17" fillId="0" borderId="1" xfId="0" applyNumberFormat="1" applyFont="1" applyFill="1" applyBorder="1" applyAlignment="1">
      <alignment horizontal="right"/>
    </xf>
    <xf numFmtId="38" fontId="13" fillId="0" borderId="5" xfId="0" applyNumberFormat="1" applyFont="1" applyBorder="1"/>
    <xf numFmtId="38" fontId="13" fillId="0" borderId="1" xfId="0" applyNumberFormat="1" applyFont="1" applyBorder="1"/>
    <xf numFmtId="3" fontId="17" fillId="0" borderId="1" xfId="0" applyNumberFormat="1" applyFont="1" applyBorder="1" applyAlignment="1">
      <alignment horizontal="right"/>
    </xf>
    <xf numFmtId="38" fontId="13" fillId="0" borderId="5" xfId="2" applyNumberFormat="1" applyFont="1" applyBorder="1"/>
    <xf numFmtId="3" fontId="13" fillId="0" borderId="3" xfId="0" applyNumberFormat="1" applyFont="1" applyBorder="1"/>
    <xf numFmtId="3" fontId="18" fillId="0" borderId="2" xfId="0" applyNumberFormat="1" applyFont="1" applyBorder="1" applyAlignment="1">
      <alignment horizontal="center"/>
    </xf>
    <xf numFmtId="3" fontId="17" fillId="0" borderId="3" xfId="0" applyNumberFormat="1" applyFont="1" applyBorder="1"/>
    <xf numFmtId="38" fontId="13" fillId="6" borderId="1" xfId="0" applyNumberFormat="1" applyFont="1" applyFill="1" applyBorder="1"/>
    <xf numFmtId="3" fontId="13" fillId="3" borderId="3" xfId="6" applyNumberFormat="1" applyFont="1" applyFill="1" applyBorder="1"/>
    <xf numFmtId="3" fontId="13" fillId="3" borderId="1" xfId="0" applyNumberFormat="1" applyFont="1" applyFill="1" applyBorder="1"/>
    <xf numFmtId="3" fontId="17" fillId="3" borderId="2" xfId="0" applyNumberFormat="1" applyFont="1" applyFill="1" applyBorder="1" applyAlignment="1">
      <alignment horizontal="left"/>
    </xf>
    <xf numFmtId="3" fontId="13" fillId="0" borderId="4" xfId="6" applyNumberFormat="1" applyFont="1" applyBorder="1" applyAlignment="1">
      <alignment horizontal="right"/>
    </xf>
    <xf numFmtId="10" fontId="13" fillId="0" borderId="8" xfId="2" applyNumberFormat="1" applyFont="1" applyBorder="1"/>
    <xf numFmtId="0" fontId="23" fillId="0" borderId="0" xfId="0" applyFont="1"/>
    <xf numFmtId="3" fontId="13" fillId="0" borderId="2" xfId="0" applyNumberFormat="1" applyFont="1" applyBorder="1" applyAlignment="1">
      <alignment horizontal="center" wrapText="1"/>
    </xf>
    <xf numFmtId="3" fontId="13" fillId="0" borderId="3" xfId="0" applyNumberFormat="1" applyFont="1" applyBorder="1" applyAlignment="1">
      <alignment horizontal="center" wrapText="1"/>
    </xf>
    <xf numFmtId="3" fontId="13" fillId="0" borderId="3" xfId="6" applyNumberFormat="1" applyFont="1" applyBorder="1" applyAlignment="1">
      <alignment horizontal="left" vertical="center" wrapText="1"/>
    </xf>
    <xf numFmtId="3" fontId="13" fillId="0" borderId="3" xfId="0" applyNumberFormat="1" applyFont="1" applyBorder="1" applyAlignment="1">
      <alignment horizontal="left" vertical="center" wrapText="1"/>
    </xf>
    <xf numFmtId="3" fontId="13" fillId="0" borderId="9"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9" xfId="6" applyNumberFormat="1" applyFont="1" applyBorder="1" applyAlignment="1">
      <alignment horizontal="center" vertical="center" wrapText="1"/>
    </xf>
    <xf numFmtId="3" fontId="13" fillId="0" borderId="6" xfId="6" applyNumberFormat="1" applyFont="1" applyBorder="1" applyAlignment="1">
      <alignment horizontal="center" vertical="center" wrapText="1"/>
    </xf>
    <xf numFmtId="3" fontId="13" fillId="0" borderId="2" xfId="6" applyNumberFormat="1" applyFont="1" applyBorder="1" applyAlignment="1">
      <alignment horizontal="center" vertical="top" wrapText="1"/>
    </xf>
    <xf numFmtId="3" fontId="13" fillId="0" borderId="3" xfId="6" applyNumberFormat="1" applyFont="1" applyBorder="1" applyAlignment="1">
      <alignment horizontal="center" vertical="top" wrapText="1"/>
    </xf>
    <xf numFmtId="3" fontId="13" fillId="0" borderId="9" xfId="6" applyNumberFormat="1" applyFont="1" applyBorder="1" applyAlignment="1">
      <alignment horizontal="center" vertical="top" wrapText="1"/>
    </xf>
    <xf numFmtId="3" fontId="13" fillId="0" borderId="6" xfId="6" applyNumberFormat="1" applyFont="1" applyBorder="1" applyAlignment="1">
      <alignment horizontal="center" vertical="top" wrapText="1"/>
    </xf>
    <xf numFmtId="3" fontId="13" fillId="0" borderId="10" xfId="6" applyNumberFormat="1" applyFont="1" applyBorder="1" applyAlignment="1">
      <alignment horizontal="center" vertical="center" wrapText="1"/>
    </xf>
    <xf numFmtId="3" fontId="13" fillId="0" borderId="7" xfId="6" applyNumberFormat="1" applyFont="1" applyBorder="1" applyAlignment="1">
      <alignment horizontal="center" vertical="center" wrapText="1"/>
    </xf>
  </cellXfs>
  <cellStyles count="12">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Millares [0]_Formulario y anexos renta PJ 2004" xfId="6"/>
    <cellStyle name="Millares 2" xfId="5"/>
    <cellStyle name="Normal" xfId="0" builtinId="0"/>
    <cellStyle name="Normal 2" xfId="3"/>
    <cellStyle name="Porcentual" xfId="2" builtinId="5"/>
    <cellStyle name="Porcentual 3" xfId="4"/>
  </cellStyles>
  <dxfs count="4">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ables/table1.xml><?xml version="1.0" encoding="utf-8"?>
<table xmlns="http://schemas.openxmlformats.org/spreadsheetml/2006/main" id="1" name="Tabla241inc1" displayName="Tabla241inc1" ref="A2:D6" totalsRowShown="0">
  <autoFilter ref="A2:D6"/>
  <tableColumns count="4">
    <tableColumn id="1" name="Rango"/>
    <tableColumn id="2" name="Porcentaje" dataDxfId="3"/>
    <tableColumn id="3" name="UVT-"/>
    <tableColumn id="4" name="UVT+"/>
  </tableColumns>
  <tableStyleInfo name="TableStyleMedium2" showFirstColumn="0" showLastColumn="0" showRowStripes="1" showColumnStripes="0"/>
</table>
</file>

<file path=xl/tables/table2.xml><?xml version="1.0" encoding="utf-8"?>
<table xmlns="http://schemas.openxmlformats.org/spreadsheetml/2006/main" id="2" name="Tabla241inc2" displayName="Tabla241inc2" ref="F2:I8" totalsRowShown="0">
  <autoFilter ref="F2:I8"/>
  <tableColumns count="4">
    <tableColumn id="1" name="Rango"/>
    <tableColumn id="2" name="Porcentaje" dataDxfId="2"/>
    <tableColumn id="3" name="UVT-"/>
    <tableColumn id="4" name="UVT+"/>
  </tableColumns>
  <tableStyleInfo name="TableStyleMedium2" showFirstColumn="0" showLastColumn="0" showRowStripes="1" showColumnStripes="0"/>
</table>
</file>

<file path=xl/tables/table3.xml><?xml version="1.0" encoding="utf-8"?>
<table xmlns="http://schemas.openxmlformats.org/spreadsheetml/2006/main" id="3" name="Tabla383" displayName="Tabla383" ref="A12:D16" totalsRowShown="0">
  <autoFilter ref="A12:D16"/>
  <tableColumns count="4">
    <tableColumn id="1" name="Rango"/>
    <tableColumn id="2" name="Porcentaje" dataDxfId="1"/>
    <tableColumn id="3" name="UVT-"/>
    <tableColumn id="4" name="UVT+"/>
  </tableColumns>
  <tableStyleInfo name="TableStyleMedium2" showFirstColumn="0" showLastColumn="0" showRowStripes="1" showColumnStripes="0"/>
</table>
</file>

<file path=xl/tables/table4.xml><?xml version="1.0" encoding="utf-8"?>
<table xmlns="http://schemas.openxmlformats.org/spreadsheetml/2006/main" id="4" name="Tabla242inc1" displayName="Tabla242inc1" ref="F12:I15" totalsRowShown="0">
  <autoFilter ref="F12:I15"/>
  <tableColumns count="4">
    <tableColumn id="1" name="Rango"/>
    <tableColumn id="2" name="Porcentaje" dataDxfId="0"/>
    <tableColumn id="3" name="UVT-"/>
    <tableColumn id="4" name="UV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4" Type="http://schemas.openxmlformats.org/officeDocument/2006/relationships/table" Target="../tables/table4.xml"/><Relationship Id="rId1" Type="http://schemas.openxmlformats.org/officeDocument/2006/relationships/table" Target="../tables/table1.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workbookViewId="0">
      <selection activeCell="C3" sqref="C3"/>
    </sheetView>
  </sheetViews>
  <sheetFormatPr baseColWidth="10" defaultColWidth="8.83203125" defaultRowHeight="14" x14ac:dyDescent="0"/>
  <cols>
    <col min="1" max="1" width="10.5" style="1" bestFit="1" customWidth="1"/>
    <col min="2" max="3" width="15.33203125" bestFit="1" customWidth="1"/>
    <col min="4" max="4" width="14.33203125" bestFit="1" customWidth="1"/>
  </cols>
  <sheetData>
    <row r="1" spans="1:4">
      <c r="A1" s="19" t="s">
        <v>69</v>
      </c>
      <c r="B1" s="19" t="s">
        <v>70</v>
      </c>
      <c r="C1" s="19" t="s">
        <v>71</v>
      </c>
      <c r="D1" s="19" t="s">
        <v>20</v>
      </c>
    </row>
    <row r="2" spans="1:4">
      <c r="A2" s="1">
        <v>31859</v>
      </c>
      <c r="B2" s="8">
        <v>2017</v>
      </c>
      <c r="C2" s="18">
        <v>40700</v>
      </c>
      <c r="D2" s="1">
        <f>+ROUND(C2*A2,-3)</f>
        <v>1296661000</v>
      </c>
    </row>
    <row r="3" spans="1:4">
      <c r="A3" s="1">
        <v>29753</v>
      </c>
      <c r="B3" s="8">
        <v>2016</v>
      </c>
      <c r="C3">
        <f>+C2</f>
        <v>40700</v>
      </c>
      <c r="D3" s="1">
        <f>+ROUND(C3*A3,-3)</f>
        <v>1210947000</v>
      </c>
    </row>
    <row r="6" spans="1:4">
      <c r="A6" s="24" t="s">
        <v>0</v>
      </c>
      <c r="B6" s="8">
        <f>+B2</f>
        <v>2017</v>
      </c>
      <c r="C6" s="8">
        <f>+B3</f>
        <v>2016</v>
      </c>
    </row>
    <row r="7" spans="1:4">
      <c r="A7" s="23">
        <v>2.9999999999999997E-4</v>
      </c>
      <c r="B7" s="1">
        <f>+ROUND(A7*UVT,-1)</f>
        <v>10</v>
      </c>
      <c r="C7" s="1">
        <f>+ROUND(A7*UVTold,-1)</f>
        <v>10</v>
      </c>
    </row>
    <row r="8" spans="1:4">
      <c r="A8" s="21">
        <v>1.4999999999999999E-2</v>
      </c>
      <c r="B8" s="1">
        <f>+ROUND(A8*UVT,-1)</f>
        <v>480</v>
      </c>
      <c r="C8" s="1">
        <f>+ROUND(A8*UVTold,-1)</f>
        <v>450</v>
      </c>
    </row>
    <row r="9" spans="1:4">
      <c r="A9" s="21">
        <v>3.5000000000000003E-2</v>
      </c>
      <c r="B9" s="1">
        <f>+ROUND(A9*UVT,-1)</f>
        <v>1120</v>
      </c>
      <c r="C9" s="1">
        <f>+ROUND(A9*UVTold,-1)</f>
        <v>1040</v>
      </c>
    </row>
    <row r="10" spans="1:4">
      <c r="A10" s="21">
        <v>5.5E-2</v>
      </c>
      <c r="B10" s="1">
        <f>+ROUND(A10*UVT,-1)</f>
        <v>1750</v>
      </c>
      <c r="C10" s="1">
        <f>+ROUND(A10*UVTold,-1)</f>
        <v>1640</v>
      </c>
    </row>
    <row r="11" spans="1:4">
      <c r="A11" s="21">
        <v>0.03</v>
      </c>
      <c r="B11" s="1">
        <f>+ROUND(A11*UVT,-1)</f>
        <v>960</v>
      </c>
      <c r="C11" s="1">
        <f>+ROUND(A11*UVTold,-1)</f>
        <v>890</v>
      </c>
    </row>
    <row r="12" spans="1:4">
      <c r="A12" s="21">
        <v>0.6</v>
      </c>
      <c r="B12" s="1">
        <f t="shared" ref="B12" si="0">+ROUND(A12*UVT,-3)</f>
        <v>19000</v>
      </c>
      <c r="C12" s="1">
        <f t="shared" ref="C12" si="1">+ROUND(A12*UVTold,-3)</f>
        <v>18000</v>
      </c>
    </row>
    <row r="13" spans="1:4">
      <c r="A13" s="1">
        <v>1</v>
      </c>
      <c r="B13" s="1">
        <f t="shared" ref="B13" si="2">+ROUND(A13*UVT,-3)</f>
        <v>32000</v>
      </c>
      <c r="C13" s="1">
        <f t="shared" ref="C13" si="3">+ROUND(A13*UVTold,-3)</f>
        <v>30000</v>
      </c>
    </row>
    <row r="14" spans="1:4">
      <c r="A14" s="22">
        <v>1.5</v>
      </c>
      <c r="B14" s="1">
        <f t="shared" ref="B14" si="4">+ROUND(A14*UVT,-3)</f>
        <v>48000</v>
      </c>
      <c r="C14" s="1">
        <f t="shared" ref="C14" si="5">+ROUND(A14*UVTold,-3)</f>
        <v>45000</v>
      </c>
    </row>
    <row r="15" spans="1:4">
      <c r="A15" s="1">
        <v>2</v>
      </c>
      <c r="B15" s="1">
        <f t="shared" ref="B15:B109" si="6">+ROUND(A15*UVT,-3)</f>
        <v>64000</v>
      </c>
      <c r="C15" s="1">
        <f t="shared" ref="C15:C109" si="7">+ROUND(A15*UVTold,-3)</f>
        <v>60000</v>
      </c>
    </row>
    <row r="16" spans="1:4">
      <c r="A16" s="1">
        <v>3</v>
      </c>
      <c r="B16" s="1">
        <f t="shared" si="6"/>
        <v>96000</v>
      </c>
      <c r="C16" s="1">
        <f t="shared" si="7"/>
        <v>89000</v>
      </c>
    </row>
    <row r="17" spans="1:3">
      <c r="A17" s="1">
        <v>4</v>
      </c>
      <c r="B17" s="1">
        <f t="shared" si="6"/>
        <v>127000</v>
      </c>
      <c r="C17" s="1">
        <f t="shared" si="7"/>
        <v>119000</v>
      </c>
    </row>
    <row r="18" spans="1:3">
      <c r="A18" s="1">
        <v>5</v>
      </c>
      <c r="B18" s="1">
        <f t="shared" si="6"/>
        <v>159000</v>
      </c>
      <c r="C18" s="1">
        <f t="shared" si="7"/>
        <v>149000</v>
      </c>
    </row>
    <row r="19" spans="1:3">
      <c r="A19" s="1">
        <v>6</v>
      </c>
      <c r="B19" s="1">
        <f t="shared" ref="B19" si="8">+ROUND(A19*UVT,-3)</f>
        <v>191000</v>
      </c>
      <c r="C19" s="1">
        <f t="shared" ref="C19" si="9">+ROUND(A19*UVTold,-3)</f>
        <v>179000</v>
      </c>
    </row>
    <row r="20" spans="1:3">
      <c r="A20" s="1">
        <v>7</v>
      </c>
      <c r="B20" s="1">
        <f t="shared" ref="B20" si="10">+ROUND(A20*UVT,-3)</f>
        <v>223000</v>
      </c>
      <c r="C20" s="1">
        <f t="shared" ref="C20" si="11">+ROUND(A20*UVTold,-3)</f>
        <v>208000</v>
      </c>
    </row>
    <row r="21" spans="1:3">
      <c r="A21" s="1">
        <v>8</v>
      </c>
      <c r="B21" s="1">
        <f t="shared" ref="B21" si="12">+ROUND(A21*UVT,-3)</f>
        <v>255000</v>
      </c>
      <c r="C21" s="1">
        <f t="shared" ref="C21" si="13">+ROUND(A21*UVTold,-3)</f>
        <v>238000</v>
      </c>
    </row>
    <row r="22" spans="1:3">
      <c r="A22" s="1">
        <v>9</v>
      </c>
      <c r="B22" s="1">
        <f t="shared" ref="B22" si="14">+ROUND(A22*UVT,-3)</f>
        <v>287000</v>
      </c>
      <c r="C22" s="1">
        <f t="shared" ref="C22" si="15">+ROUND(A22*UVTold,-3)</f>
        <v>268000</v>
      </c>
    </row>
    <row r="23" spans="1:3">
      <c r="A23" s="1">
        <v>10</v>
      </c>
      <c r="B23" s="1">
        <f t="shared" ref="B23:B24" si="16">+ROUND(A23*UVT,-3)</f>
        <v>319000</v>
      </c>
      <c r="C23" s="1">
        <f t="shared" ref="C23:C24" si="17">+ROUND(A23*UVTold,-3)</f>
        <v>298000</v>
      </c>
    </row>
    <row r="24" spans="1:3">
      <c r="A24" s="1">
        <v>15</v>
      </c>
      <c r="B24" s="1">
        <f t="shared" si="16"/>
        <v>478000</v>
      </c>
      <c r="C24" s="1">
        <f t="shared" si="17"/>
        <v>446000</v>
      </c>
    </row>
    <row r="25" spans="1:3">
      <c r="A25" s="1">
        <v>16</v>
      </c>
      <c r="B25" s="1">
        <f t="shared" ref="B25" si="18">+ROUND(A25*UVT,-3)</f>
        <v>510000</v>
      </c>
      <c r="C25" s="1">
        <f t="shared" ref="C25" si="19">+ROUND(A25*UVTold,-3)</f>
        <v>476000</v>
      </c>
    </row>
    <row r="26" spans="1:3">
      <c r="A26" s="1">
        <v>20</v>
      </c>
      <c r="B26" s="1">
        <f t="shared" si="6"/>
        <v>637000</v>
      </c>
      <c r="C26" s="1">
        <f t="shared" si="7"/>
        <v>595000</v>
      </c>
    </row>
    <row r="27" spans="1:3">
      <c r="A27" s="1">
        <v>27</v>
      </c>
      <c r="B27" s="1">
        <f t="shared" ref="B27:B28" si="20">+ROUND(A27*UVT,-3)</f>
        <v>860000</v>
      </c>
      <c r="C27" s="1">
        <f t="shared" ref="C27:C28" si="21">+ROUND(A27*UVTold,-3)</f>
        <v>803000</v>
      </c>
    </row>
    <row r="28" spans="1:3">
      <c r="A28" s="1">
        <v>30</v>
      </c>
      <c r="B28" s="1">
        <f t="shared" si="20"/>
        <v>956000</v>
      </c>
      <c r="C28" s="1">
        <f t="shared" si="21"/>
        <v>893000</v>
      </c>
    </row>
    <row r="29" spans="1:3">
      <c r="A29" s="1">
        <v>32</v>
      </c>
      <c r="B29" s="1">
        <f t="shared" ref="B29:B30" si="22">+ROUND(A29*UVT,-3)</f>
        <v>1019000</v>
      </c>
      <c r="C29" s="1">
        <f t="shared" ref="C29:C30" si="23">+ROUND(A29*UVTold,-3)</f>
        <v>952000</v>
      </c>
    </row>
    <row r="30" spans="1:3">
      <c r="A30" s="1">
        <v>40</v>
      </c>
      <c r="B30" s="1">
        <f t="shared" si="22"/>
        <v>1274000</v>
      </c>
      <c r="C30" s="1">
        <f t="shared" si="23"/>
        <v>1190000</v>
      </c>
    </row>
    <row r="31" spans="1:3">
      <c r="A31" s="1">
        <v>41</v>
      </c>
      <c r="B31" s="1">
        <f t="shared" si="6"/>
        <v>1306000</v>
      </c>
      <c r="C31" s="1">
        <f t="shared" ref="C31:C32" si="24">+ROUND(A31*UVTold,-3)</f>
        <v>1220000</v>
      </c>
    </row>
    <row r="32" spans="1:3">
      <c r="A32" s="1">
        <v>45</v>
      </c>
      <c r="B32" s="1">
        <f t="shared" si="6"/>
        <v>1434000</v>
      </c>
      <c r="C32" s="1">
        <f t="shared" si="24"/>
        <v>1339000</v>
      </c>
    </row>
    <row r="33" spans="1:3">
      <c r="A33" s="1">
        <v>48</v>
      </c>
      <c r="B33" s="1">
        <f t="shared" ref="B33" si="25">+ROUND(A33*UVT,-3)</f>
        <v>1529000</v>
      </c>
      <c r="C33" s="1">
        <f t="shared" ref="C33" si="26">+ROUND(A33*UVTold,-3)</f>
        <v>1428000</v>
      </c>
    </row>
    <row r="34" spans="1:3">
      <c r="A34" s="1">
        <v>51</v>
      </c>
      <c r="B34" s="1">
        <f t="shared" si="6"/>
        <v>1625000</v>
      </c>
      <c r="C34" s="1">
        <f t="shared" si="7"/>
        <v>1517000</v>
      </c>
    </row>
    <row r="35" spans="1:3">
      <c r="A35" s="1">
        <v>60</v>
      </c>
      <c r="B35" s="1">
        <f t="shared" ref="B35" si="27">+ROUND(A35*UVT,-3)</f>
        <v>1912000</v>
      </c>
      <c r="C35" s="1">
        <f t="shared" ref="C35" si="28">+ROUND(A35*UVTold,-3)</f>
        <v>1785000</v>
      </c>
    </row>
    <row r="36" spans="1:3">
      <c r="A36" s="1">
        <v>65</v>
      </c>
      <c r="B36" s="1">
        <f t="shared" ref="B36" si="29">+ROUND(A36*UVT,-3)</f>
        <v>2071000</v>
      </c>
      <c r="C36" s="1">
        <f t="shared" ref="C36" si="30">+ROUND(A36*UVTold,-3)</f>
        <v>1934000</v>
      </c>
    </row>
    <row r="37" spans="1:3">
      <c r="A37" s="1">
        <v>82</v>
      </c>
      <c r="B37" s="1">
        <f>+ROUND(A37*UVT,-3)</f>
        <v>2612000</v>
      </c>
      <c r="C37" s="1">
        <f t="shared" ref="C37" si="31">+ROUND(A37*UVTold,-3)</f>
        <v>2440000</v>
      </c>
    </row>
    <row r="38" spans="1:3">
      <c r="A38" s="1">
        <v>96</v>
      </c>
      <c r="B38" s="1">
        <f t="shared" ref="B38" si="32">+ROUND(A38*UVT,-3)</f>
        <v>3058000</v>
      </c>
      <c r="C38" s="1">
        <f t="shared" ref="C38" si="33">+ROUND(A38*UVTold,-3)</f>
        <v>2856000</v>
      </c>
    </row>
    <row r="39" spans="1:3">
      <c r="A39" s="1">
        <v>100</v>
      </c>
      <c r="B39" s="1">
        <f t="shared" ref="B39:B42" si="34">+ROUND(A39*UVT,-3)</f>
        <v>3186000</v>
      </c>
      <c r="C39" s="1">
        <f t="shared" ref="C39:C42" si="35">+ROUND(A39*UVTold,-3)</f>
        <v>2975000</v>
      </c>
    </row>
    <row r="40" spans="1:3">
      <c r="A40" s="1">
        <v>159</v>
      </c>
      <c r="B40" s="1">
        <f t="shared" si="34"/>
        <v>5066000</v>
      </c>
      <c r="C40" s="1">
        <f t="shared" si="35"/>
        <v>4731000</v>
      </c>
    </row>
    <row r="41" spans="1:3">
      <c r="A41" s="1">
        <v>160</v>
      </c>
      <c r="B41" s="1">
        <f t="shared" ref="B41" si="36">+ROUND(A41*UVT,-3)</f>
        <v>5097000</v>
      </c>
      <c r="C41" s="1">
        <f t="shared" ref="C41" si="37">+ROUND(A41*UVTold,-3)</f>
        <v>4760000</v>
      </c>
    </row>
    <row r="42" spans="1:3">
      <c r="A42" s="1">
        <v>200</v>
      </c>
      <c r="B42" s="1">
        <f t="shared" si="34"/>
        <v>6372000</v>
      </c>
      <c r="C42" s="1">
        <f t="shared" si="35"/>
        <v>5951000</v>
      </c>
    </row>
    <row r="43" spans="1:3">
      <c r="A43" s="1">
        <v>240</v>
      </c>
      <c r="B43" s="1">
        <f t="shared" ref="B43" si="38">+ROUND(A43*UVT,-3)</f>
        <v>7646000</v>
      </c>
      <c r="C43" s="1">
        <f t="shared" ref="C43" si="39">+ROUND(A43*UVTold,-3)</f>
        <v>7141000</v>
      </c>
    </row>
    <row r="44" spans="1:3">
      <c r="A44" s="1">
        <v>260</v>
      </c>
      <c r="B44" s="1">
        <f t="shared" ref="B44" si="40">+ROUND(A44*UVT,-3)</f>
        <v>8283000</v>
      </c>
      <c r="C44" s="1">
        <f t="shared" ref="C44" si="41">+ROUND(A44*UVTold,-3)</f>
        <v>7736000</v>
      </c>
    </row>
    <row r="45" spans="1:3">
      <c r="A45" s="1">
        <v>290</v>
      </c>
      <c r="B45" s="1">
        <f t="shared" ref="B45" si="42">+ROUND(A45*UVT,-3)</f>
        <v>9239000</v>
      </c>
      <c r="C45" s="1">
        <f t="shared" ref="C45" si="43">+ROUND(A45*UVTold,-3)</f>
        <v>8628000</v>
      </c>
    </row>
    <row r="46" spans="1:3">
      <c r="A46" s="1">
        <v>310</v>
      </c>
      <c r="B46" s="1">
        <f t="shared" ref="B46" si="44">+ROUND(A46*UVT,-3)</f>
        <v>9876000</v>
      </c>
      <c r="C46" s="1">
        <f t="shared" ref="C46" si="45">+ROUND(A46*UVTold,-3)</f>
        <v>9223000</v>
      </c>
    </row>
    <row r="47" spans="1:3">
      <c r="A47" s="1">
        <v>313</v>
      </c>
      <c r="B47" s="1">
        <f t="shared" ref="B47" si="46">+ROUND(A47*UVT,-3)</f>
        <v>9972000</v>
      </c>
      <c r="C47" s="1">
        <f t="shared" ref="C47" si="47">+ROUND(A47*UVTold,-3)</f>
        <v>9313000</v>
      </c>
    </row>
    <row r="48" spans="1:3">
      <c r="A48" s="1">
        <v>350</v>
      </c>
      <c r="B48" s="1">
        <f t="shared" ref="B48" si="48">+ROUND(A48*UVT,-3)</f>
        <v>11151000</v>
      </c>
      <c r="C48" s="1">
        <f t="shared" ref="C48" si="49">+ROUND(A48*UVTold,-3)</f>
        <v>10414000</v>
      </c>
    </row>
    <row r="49" spans="1:3">
      <c r="A49" s="1">
        <v>360</v>
      </c>
      <c r="B49" s="1">
        <f t="shared" ref="B49" si="50">+ROUND(A49*UVT,-3)</f>
        <v>11469000</v>
      </c>
      <c r="C49" s="1">
        <f t="shared" ref="C49" si="51">+ROUND(A49*UVTold,-3)</f>
        <v>10711000</v>
      </c>
    </row>
    <row r="50" spans="1:3">
      <c r="A50" s="1">
        <v>410</v>
      </c>
      <c r="B50" s="1">
        <f t="shared" ref="B50" si="52">+ROUND(A50*UVT,-3)</f>
        <v>13062000</v>
      </c>
      <c r="C50" s="1">
        <f t="shared" ref="C50" si="53">+ROUND(A50*UVTold,-3)</f>
        <v>12199000</v>
      </c>
    </row>
    <row r="51" spans="1:3">
      <c r="A51" s="1">
        <v>417</v>
      </c>
      <c r="B51" s="1">
        <f t="shared" ref="B51" si="54">+ROUND(A51*UVT,-3)</f>
        <v>13285000</v>
      </c>
      <c r="C51" s="1">
        <f t="shared" ref="C51" si="55">+ROUND(A51*UVTold,-3)</f>
        <v>12407000</v>
      </c>
    </row>
    <row r="52" spans="1:3">
      <c r="A52" s="1">
        <v>500</v>
      </c>
      <c r="B52" s="1">
        <f t="shared" ref="B52" si="56">+ROUND(A52*UVT,-3)</f>
        <v>15930000</v>
      </c>
      <c r="C52" s="1">
        <f t="shared" ref="C52" si="57">+ROUND(A52*UVTold,-3)</f>
        <v>14877000</v>
      </c>
    </row>
    <row r="53" spans="1:3">
      <c r="A53" s="1">
        <v>590</v>
      </c>
      <c r="B53" s="1">
        <f t="shared" ref="B53" si="58">+ROUND(A53*UVT,-3)</f>
        <v>18797000</v>
      </c>
      <c r="C53" s="1">
        <f t="shared" ref="C53" si="59">+ROUND(A53*UVTold,-3)</f>
        <v>17554000</v>
      </c>
    </row>
    <row r="54" spans="1:3">
      <c r="A54" s="1">
        <v>610</v>
      </c>
      <c r="B54" s="1">
        <f t="shared" si="6"/>
        <v>19434000</v>
      </c>
      <c r="C54" s="1">
        <f t="shared" si="7"/>
        <v>18149000</v>
      </c>
    </row>
    <row r="55" spans="1:3">
      <c r="A55" s="1">
        <v>700</v>
      </c>
      <c r="B55" s="1">
        <f t="shared" ref="B55" si="60">+ROUND(A55*UVT,-3)</f>
        <v>22301000</v>
      </c>
      <c r="C55" s="1">
        <f t="shared" ref="C55" si="61">+ROUND(A55*UVTold,-3)</f>
        <v>20827000</v>
      </c>
    </row>
    <row r="56" spans="1:3">
      <c r="A56" s="1">
        <v>950</v>
      </c>
      <c r="B56" s="1">
        <f t="shared" ref="B56" si="62">+ROUND(A56*UVT,-3)</f>
        <v>30266000</v>
      </c>
      <c r="C56" s="1">
        <f t="shared" ref="C56" si="63">+ROUND(A56*UVTold,-3)</f>
        <v>28265000</v>
      </c>
    </row>
    <row r="57" spans="1:3">
      <c r="A57" s="1">
        <v>1000</v>
      </c>
      <c r="B57" s="1">
        <f t="shared" ref="B57" si="64">+ROUND(A57*UVT,-3)</f>
        <v>31859000</v>
      </c>
      <c r="C57" s="1">
        <f t="shared" ref="C57" si="65">+ROUND(A57*UVTold,-3)</f>
        <v>29753000</v>
      </c>
    </row>
    <row r="58" spans="1:3">
      <c r="A58" s="1">
        <v>1200</v>
      </c>
      <c r="B58" s="1">
        <f t="shared" ref="B58" si="66">+ROUND(A58*UVT,-3)</f>
        <v>38231000</v>
      </c>
      <c r="C58" s="1">
        <f t="shared" ref="C58" si="67">+ROUND(A58*UVTold,-3)</f>
        <v>35704000</v>
      </c>
    </row>
    <row r="59" spans="1:3">
      <c r="A59" s="1">
        <v>1250</v>
      </c>
      <c r="B59" s="1">
        <f t="shared" ref="B59" si="68">+ROUND(A59*UVT,-3)</f>
        <v>39824000</v>
      </c>
      <c r="C59" s="1">
        <f t="shared" ref="C59" si="69">+ROUND(A59*UVTold,-3)</f>
        <v>37191000</v>
      </c>
    </row>
    <row r="60" spans="1:3">
      <c r="A60" s="1">
        <v>1300</v>
      </c>
      <c r="B60" s="1">
        <f t="shared" ref="B60" si="70">+ROUND(A60*UVT,-3)</f>
        <v>41417000</v>
      </c>
      <c r="C60" s="1">
        <f t="shared" ref="C60" si="71">+ROUND(A60*UVTold,-3)</f>
        <v>38679000</v>
      </c>
    </row>
    <row r="61" spans="1:3">
      <c r="A61" s="1">
        <v>1400</v>
      </c>
      <c r="B61" s="1">
        <f t="shared" si="6"/>
        <v>44603000</v>
      </c>
      <c r="C61" s="1">
        <f t="shared" si="7"/>
        <v>41654000</v>
      </c>
    </row>
    <row r="62" spans="1:3">
      <c r="A62" s="1">
        <v>1667</v>
      </c>
      <c r="B62" s="1">
        <f t="shared" ref="B62" si="72">+ROUND(A62*UVT,-3)</f>
        <v>53109000</v>
      </c>
      <c r="C62" s="1">
        <f t="shared" ref="C62" si="73">+ROUND(A62*UVTold,-3)</f>
        <v>49598000</v>
      </c>
    </row>
    <row r="63" spans="1:3">
      <c r="A63" s="1">
        <v>1800</v>
      </c>
      <c r="B63" s="1">
        <f t="shared" ref="B63" si="74">+ROUND(A63*UVT,-3)</f>
        <v>57346000</v>
      </c>
      <c r="C63" s="1">
        <f t="shared" ref="C63" si="75">+ROUND(A63*UVTold,-3)</f>
        <v>53555000</v>
      </c>
    </row>
    <row r="64" spans="1:3">
      <c r="A64" s="1">
        <v>2000</v>
      </c>
      <c r="B64" s="1">
        <f t="shared" ref="B64" si="76">+ROUND(A64*UVT,-3)</f>
        <v>63718000</v>
      </c>
      <c r="C64" s="1">
        <f t="shared" ref="C64" si="77">+ROUND(A64*UVTold,-3)</f>
        <v>59506000</v>
      </c>
    </row>
    <row r="65" spans="1:3">
      <c r="A65" s="1">
        <v>2280</v>
      </c>
      <c r="B65" s="1">
        <f t="shared" ref="B65" si="78">+ROUND(A65*UVT,-3)</f>
        <v>72639000</v>
      </c>
      <c r="C65" s="1">
        <f t="shared" ref="C65" si="79">+ROUND(A65*UVTold,-3)</f>
        <v>67837000</v>
      </c>
    </row>
    <row r="66" spans="1:3">
      <c r="A66" s="1">
        <v>2290</v>
      </c>
      <c r="B66" s="1">
        <f t="shared" ref="B66" si="80">+ROUND(A66*UVT,-3)</f>
        <v>72957000</v>
      </c>
      <c r="C66" s="1">
        <f t="shared" ref="C66" si="81">+ROUND(A66*UVTold,-3)</f>
        <v>68134000</v>
      </c>
    </row>
    <row r="67" spans="1:3">
      <c r="A67" s="1">
        <v>2400</v>
      </c>
      <c r="B67" s="1">
        <f t="shared" ref="B67" si="82">+ROUND(A67*UVT,-3)</f>
        <v>76462000</v>
      </c>
      <c r="C67" s="1">
        <f t="shared" ref="C67" si="83">+ROUND(A67*UVTold,-3)</f>
        <v>71407000</v>
      </c>
    </row>
    <row r="68" spans="1:3">
      <c r="A68" s="1">
        <v>2500</v>
      </c>
      <c r="B68" s="1">
        <f t="shared" si="6"/>
        <v>79648000</v>
      </c>
      <c r="C68" s="1">
        <f t="shared" ref="C68:C71" si="84">+ROUND(A68*UVTold,-3)</f>
        <v>74383000</v>
      </c>
    </row>
    <row r="69" spans="1:3">
      <c r="A69" s="1">
        <v>2800</v>
      </c>
      <c r="B69" s="1">
        <f t="shared" ref="B69" si="85">+ROUND(A69*UVT,-3)</f>
        <v>89205000</v>
      </c>
      <c r="C69" s="1">
        <f t="shared" ref="C69" si="86">+ROUND(A69*UVTold,-3)</f>
        <v>83308000</v>
      </c>
    </row>
    <row r="70" spans="1:3">
      <c r="A70" s="1">
        <v>3000</v>
      </c>
      <c r="B70" s="1">
        <f>+ROUND(A70*UVT,-3)</f>
        <v>95577000</v>
      </c>
      <c r="C70" s="1">
        <f t="shared" ref="C70" si="87">+ROUND(A70*UVTold,-3)</f>
        <v>89259000</v>
      </c>
    </row>
    <row r="71" spans="1:3">
      <c r="A71" s="1">
        <v>3300</v>
      </c>
      <c r="B71" s="1">
        <f t="shared" ref="B71" si="88">+ROUND(A71*UVT,-3)</f>
        <v>105135000</v>
      </c>
      <c r="C71" s="1">
        <f t="shared" si="84"/>
        <v>98185000</v>
      </c>
    </row>
    <row r="72" spans="1:3">
      <c r="A72" s="1">
        <v>3490</v>
      </c>
      <c r="B72" s="1">
        <f t="shared" ref="B72" si="89">+ROUND(A72*UVT,-3)</f>
        <v>111188000</v>
      </c>
      <c r="C72" s="1">
        <f t="shared" ref="C72" si="90">+ROUND(A72*UVTold,-3)</f>
        <v>103838000</v>
      </c>
    </row>
    <row r="73" spans="1:3">
      <c r="A73" s="1">
        <v>3500</v>
      </c>
      <c r="B73" s="1">
        <f t="shared" ref="B73" si="91">+ROUND(A73*UVT,-3)</f>
        <v>111507000</v>
      </c>
      <c r="C73" s="1">
        <f t="shared" ref="C73" si="92">+ROUND(A73*UVTold,-3)</f>
        <v>104136000</v>
      </c>
    </row>
    <row r="74" spans="1:3">
      <c r="A74" s="1">
        <v>3580</v>
      </c>
      <c r="B74" s="1">
        <f t="shared" ref="B74" si="93">+ROUND(A74*UVT,-3)</f>
        <v>114055000</v>
      </c>
      <c r="C74" s="1">
        <f t="shared" ref="C74" si="94">+ROUND(A74*UVTold,-3)</f>
        <v>106516000</v>
      </c>
    </row>
    <row r="75" spans="1:3">
      <c r="A75" s="1">
        <v>3800</v>
      </c>
      <c r="B75" s="1">
        <f t="shared" si="6"/>
        <v>121064000</v>
      </c>
      <c r="C75" s="1">
        <f t="shared" si="7"/>
        <v>113061000</v>
      </c>
    </row>
    <row r="76" spans="1:3">
      <c r="A76" s="1">
        <v>4000</v>
      </c>
      <c r="B76" s="1">
        <f t="shared" ref="B76:B81" si="95">+ROUND(A76*UVT,-3)</f>
        <v>127436000</v>
      </c>
      <c r="C76" s="1">
        <f t="shared" ref="C76:C81" si="96">+ROUND(A76*UVTold,-3)</f>
        <v>119012000</v>
      </c>
    </row>
    <row r="77" spans="1:3">
      <c r="A77" s="1">
        <v>4100</v>
      </c>
      <c r="B77" s="1">
        <f t="shared" ref="B77" si="97">+ROUND(A77*UVT,-3)</f>
        <v>130622000</v>
      </c>
      <c r="C77" s="1">
        <f t="shared" ref="C77" si="98">+ROUND(A77*UVTold,-3)</f>
        <v>121987000</v>
      </c>
    </row>
    <row r="78" spans="1:3">
      <c r="A78" s="1">
        <v>4500</v>
      </c>
      <c r="B78" s="1">
        <f t="shared" ref="B78" si="99">+ROUND(A78*UVT,-3)</f>
        <v>143366000</v>
      </c>
      <c r="C78" s="1">
        <f t="shared" ref="C78" si="100">+ROUND(A78*UVTold,-3)</f>
        <v>133889000</v>
      </c>
    </row>
    <row r="79" spans="1:3">
      <c r="A79" s="1">
        <v>5000</v>
      </c>
      <c r="B79" s="1">
        <f t="shared" si="95"/>
        <v>159295000</v>
      </c>
      <c r="C79" s="1">
        <f t="shared" si="96"/>
        <v>148765000</v>
      </c>
    </row>
    <row r="80" spans="1:3">
      <c r="A80" s="1">
        <v>5040</v>
      </c>
      <c r="B80" s="1">
        <f t="shared" ref="B80" si="101">+ROUND(A80*UVT,-3)</f>
        <v>160569000</v>
      </c>
      <c r="C80" s="1">
        <f t="shared" ref="C80" si="102">+ROUND(A80*UVTold,-3)</f>
        <v>149955000</v>
      </c>
    </row>
    <row r="81" spans="1:3">
      <c r="A81" s="1">
        <v>6000</v>
      </c>
      <c r="B81" s="1">
        <f t="shared" si="95"/>
        <v>191154000</v>
      </c>
      <c r="C81" s="1">
        <f t="shared" si="96"/>
        <v>178518000</v>
      </c>
    </row>
    <row r="82" spans="1:3">
      <c r="A82" s="1">
        <v>6100</v>
      </c>
      <c r="B82" s="1">
        <f t="shared" ref="B82" si="103">+ROUND(A82*UVT,-3)</f>
        <v>194340000</v>
      </c>
      <c r="C82" s="1">
        <f t="shared" ref="C82" si="104">+ROUND(A82*UVTold,-3)</f>
        <v>181493000</v>
      </c>
    </row>
    <row r="83" spans="1:3">
      <c r="A83" s="1">
        <v>7500</v>
      </c>
      <c r="B83" s="1">
        <f t="shared" ref="B83" si="105">+ROUND(A83*UVT,-3)</f>
        <v>238943000</v>
      </c>
      <c r="C83" s="1">
        <f t="shared" ref="C83" si="106">+ROUND(A83*UVTold,-3)</f>
        <v>223148000</v>
      </c>
    </row>
    <row r="84" spans="1:3">
      <c r="A84" s="1">
        <v>7700</v>
      </c>
      <c r="B84" s="1">
        <f t="shared" ref="B84" si="107">+ROUND(A84*UVT,-3)</f>
        <v>245314000</v>
      </c>
      <c r="C84" s="1">
        <f t="shared" ref="C84" si="108">+ROUND(A84*UVTold,-3)</f>
        <v>229098000</v>
      </c>
    </row>
    <row r="85" spans="1:3">
      <c r="A85" s="1">
        <v>8000</v>
      </c>
      <c r="B85" s="1">
        <f t="shared" si="6"/>
        <v>254872000</v>
      </c>
      <c r="C85" s="1">
        <f t="shared" si="7"/>
        <v>238024000</v>
      </c>
    </row>
    <row r="86" spans="1:3">
      <c r="B86" s="1">
        <f t="shared" ref="B86" si="109">+ROUND(A86*UVT,-3)</f>
        <v>0</v>
      </c>
      <c r="C86" s="1">
        <f t="shared" ref="C86" si="110">+ROUND(A86*UVTold,-3)</f>
        <v>0</v>
      </c>
    </row>
    <row r="87" spans="1:3">
      <c r="A87" s="1">
        <v>10000</v>
      </c>
      <c r="B87" s="1">
        <f t="shared" si="6"/>
        <v>318590000</v>
      </c>
      <c r="C87" s="1">
        <f t="shared" si="7"/>
        <v>297530000</v>
      </c>
    </row>
    <row r="88" spans="1:3">
      <c r="A88" s="1">
        <v>12200</v>
      </c>
      <c r="B88" s="1">
        <f t="shared" ref="B88:B90" si="111">+ROUND(A88*UVT,-3)</f>
        <v>388680000</v>
      </c>
      <c r="C88" s="1">
        <f t="shared" ref="C88:C90" si="112">+ROUND(A88*UVTold,-3)</f>
        <v>362987000</v>
      </c>
    </row>
    <row r="89" spans="1:3">
      <c r="A89" s="1">
        <v>15000</v>
      </c>
      <c r="B89" s="1">
        <f t="shared" si="111"/>
        <v>477885000</v>
      </c>
      <c r="C89" s="1">
        <f t="shared" si="112"/>
        <v>446295000</v>
      </c>
    </row>
    <row r="90" spans="1:3">
      <c r="A90" s="1">
        <v>0</v>
      </c>
      <c r="B90" s="1">
        <f t="shared" si="111"/>
        <v>0</v>
      </c>
      <c r="C90" s="1">
        <f t="shared" si="112"/>
        <v>0</v>
      </c>
    </row>
    <row r="91" spans="1:3">
      <c r="A91" s="1">
        <v>19000</v>
      </c>
      <c r="B91" s="1">
        <f t="shared" ref="B91" si="113">+ROUND(A91*UVT,-3)</f>
        <v>605321000</v>
      </c>
      <c r="C91" s="1">
        <f t="shared" ref="C91" si="114">+ROUND(A91*UVTold,-3)</f>
        <v>565307000</v>
      </c>
    </row>
    <row r="92" spans="1:3">
      <c r="A92" s="1">
        <v>20000</v>
      </c>
      <c r="B92" s="1">
        <f t="shared" ref="B92:B102" si="115">+ROUND(A92*UVT,-3)</f>
        <v>637180000</v>
      </c>
      <c r="C92" s="1">
        <f t="shared" ref="C92:C102" si="116">+ROUND(A92*UVTold,-3)</f>
        <v>595060000</v>
      </c>
    </row>
    <row r="93" spans="1:3">
      <c r="A93" s="1">
        <v>25000</v>
      </c>
      <c r="B93" s="1">
        <f t="shared" si="115"/>
        <v>796475000</v>
      </c>
      <c r="C93" s="1">
        <f t="shared" si="116"/>
        <v>743825000</v>
      </c>
    </row>
    <row r="94" spans="1:3">
      <c r="A94" s="1">
        <v>30000</v>
      </c>
      <c r="B94" s="1">
        <f t="shared" ref="B94" si="117">+ROUND(A94*UVT,-3)</f>
        <v>955770000</v>
      </c>
      <c r="C94" s="1">
        <f t="shared" ref="C94" si="118">+ROUND(A94*UVTold,-3)</f>
        <v>892590000</v>
      </c>
    </row>
    <row r="95" spans="1:3">
      <c r="A95" s="1">
        <v>31000</v>
      </c>
      <c r="B95" s="1">
        <f t="shared" ref="B95" si="119">+ROUND(A95*UVT,-3)</f>
        <v>987629000</v>
      </c>
      <c r="C95" s="1">
        <f t="shared" ref="C95" si="120">+ROUND(A95*UVTold,-3)</f>
        <v>922343000</v>
      </c>
    </row>
    <row r="96" spans="1:3">
      <c r="A96" s="1">
        <v>33000</v>
      </c>
      <c r="B96" s="1">
        <f t="shared" ref="B96" si="121">+ROUND(A96*UVT,-3)</f>
        <v>1051347000</v>
      </c>
      <c r="C96" s="1">
        <f t="shared" ref="C96" si="122">+ROUND(A96*UVTold,-3)</f>
        <v>981849000</v>
      </c>
    </row>
    <row r="97" spans="1:3">
      <c r="A97" s="1">
        <v>40000</v>
      </c>
      <c r="B97" s="1">
        <f t="shared" ref="B97:B98" si="123">+ROUND(A97*UVT,-3)</f>
        <v>1274360000</v>
      </c>
      <c r="C97" s="1">
        <f t="shared" ref="C97:C98" si="124">+ROUND(A97*UVTold,-3)</f>
        <v>1190120000</v>
      </c>
    </row>
    <row r="98" spans="1:3">
      <c r="A98" s="1">
        <v>41000</v>
      </c>
      <c r="B98" s="1">
        <f t="shared" si="123"/>
        <v>1306219000</v>
      </c>
      <c r="C98" s="1">
        <f t="shared" si="124"/>
        <v>1219873000</v>
      </c>
    </row>
    <row r="99" spans="1:3">
      <c r="A99" s="1">
        <v>60000</v>
      </c>
      <c r="B99" s="1">
        <f t="shared" ref="B99" si="125">+ROUND(A99*UVT,-3)</f>
        <v>1911540000</v>
      </c>
      <c r="C99" s="1">
        <f t="shared" ref="C99" si="126">+ROUND(A99*UVTold,-3)</f>
        <v>1785180000</v>
      </c>
    </row>
    <row r="100" spans="1:3">
      <c r="A100" s="1">
        <v>61000</v>
      </c>
      <c r="B100" s="1">
        <f t="shared" si="115"/>
        <v>1943399000</v>
      </c>
      <c r="C100" s="1">
        <f t="shared" si="116"/>
        <v>1814933000</v>
      </c>
    </row>
    <row r="101" spans="1:3">
      <c r="A101" s="1">
        <v>80000</v>
      </c>
      <c r="B101" s="1">
        <f t="shared" ref="B101" si="127">+ROUND(A101*UVT,-3)</f>
        <v>2548720000</v>
      </c>
      <c r="C101" s="1">
        <f t="shared" ref="C101" si="128">+ROUND(A101*UVTold,-3)</f>
        <v>2380240000</v>
      </c>
    </row>
    <row r="102" spans="1:3">
      <c r="A102" s="1">
        <v>81000</v>
      </c>
      <c r="B102" s="1">
        <f t="shared" si="115"/>
        <v>2580579000</v>
      </c>
      <c r="C102" s="1">
        <f t="shared" si="116"/>
        <v>2409993000</v>
      </c>
    </row>
    <row r="103" spans="1:3">
      <c r="A103" s="1">
        <v>82000</v>
      </c>
      <c r="B103" s="1">
        <f t="shared" ref="B103" si="129">+ROUND(A103*UVT,-3)</f>
        <v>2612438000</v>
      </c>
      <c r="C103" s="1">
        <f t="shared" ref="C103" si="130">+ROUND(A103*UVTold,-3)</f>
        <v>2439746000</v>
      </c>
    </row>
    <row r="104" spans="1:3">
      <c r="A104" s="1">
        <v>92000</v>
      </c>
      <c r="B104" s="1">
        <f t="shared" ref="B104" si="131">+ROUND(A104*UVT,-3)</f>
        <v>2931028000</v>
      </c>
      <c r="C104" s="1">
        <f t="shared" ref="C104" si="132">+ROUND(A104*UVTold,-3)</f>
        <v>2737276000</v>
      </c>
    </row>
    <row r="105" spans="1:3">
      <c r="A105" s="1">
        <v>100000</v>
      </c>
      <c r="B105" s="1">
        <f t="shared" si="6"/>
        <v>3185900000</v>
      </c>
      <c r="C105" s="1">
        <f t="shared" si="7"/>
        <v>2975300000</v>
      </c>
    </row>
    <row r="106" spans="1:3">
      <c r="A106" s="1">
        <v>0</v>
      </c>
      <c r="B106" s="1">
        <f t="shared" ref="B106:B108" si="133">+ROUND(A106*UVT,-3)</f>
        <v>0</v>
      </c>
      <c r="C106" s="1">
        <f t="shared" ref="C106:C108" si="134">+ROUND(A106*UVTold,-3)</f>
        <v>0</v>
      </c>
    </row>
    <row r="107" spans="1:3">
      <c r="A107" s="1">
        <v>180000</v>
      </c>
      <c r="B107" s="1">
        <f t="shared" si="133"/>
        <v>5734620000</v>
      </c>
      <c r="C107" s="1">
        <f t="shared" si="134"/>
        <v>5355540000</v>
      </c>
    </row>
    <row r="108" spans="1:3">
      <c r="A108" s="1">
        <v>0</v>
      </c>
      <c r="B108" s="1">
        <f t="shared" si="133"/>
        <v>0</v>
      </c>
      <c r="C108" s="1">
        <f t="shared" si="134"/>
        <v>0</v>
      </c>
    </row>
    <row r="109" spans="1:3">
      <c r="A109" s="1">
        <v>610000</v>
      </c>
      <c r="B109" s="1">
        <f t="shared" si="6"/>
        <v>19433990000</v>
      </c>
      <c r="C109" s="1">
        <f t="shared" si="7"/>
        <v>18149330000</v>
      </c>
    </row>
    <row r="110" spans="1:3">
      <c r="A110" s="1">
        <v>0</v>
      </c>
      <c r="B110" s="1">
        <f t="shared" ref="B110:B116" si="135">+ROUND(A110*UVT,-3)</f>
        <v>0</v>
      </c>
      <c r="C110" s="1">
        <f t="shared" ref="C110:C116" si="136">+ROUND(A110*UVTold,-3)</f>
        <v>0</v>
      </c>
    </row>
    <row r="111" spans="1:3">
      <c r="A111" s="1">
        <v>0</v>
      </c>
      <c r="B111" s="1">
        <f t="shared" si="135"/>
        <v>0</v>
      </c>
      <c r="C111" s="1">
        <f t="shared" si="136"/>
        <v>0</v>
      </c>
    </row>
    <row r="112" spans="1:3">
      <c r="A112" s="1">
        <v>0</v>
      </c>
      <c r="B112" s="1">
        <f t="shared" si="135"/>
        <v>0</v>
      </c>
      <c r="C112" s="1">
        <f t="shared" si="136"/>
        <v>0</v>
      </c>
    </row>
    <row r="113" spans="1:3">
      <c r="A113" s="1">
        <v>0</v>
      </c>
      <c r="B113" s="1">
        <f t="shared" si="135"/>
        <v>0</v>
      </c>
      <c r="C113" s="1">
        <f t="shared" si="136"/>
        <v>0</v>
      </c>
    </row>
    <row r="114" spans="1:3">
      <c r="A114" s="1">
        <v>1020000</v>
      </c>
      <c r="B114" s="1">
        <f t="shared" si="135"/>
        <v>32496180000</v>
      </c>
      <c r="C114" s="1">
        <f t="shared" si="136"/>
        <v>30348060000</v>
      </c>
    </row>
    <row r="115" spans="1:3">
      <c r="A115" s="1">
        <v>0</v>
      </c>
      <c r="B115" s="1">
        <f t="shared" si="135"/>
        <v>0</v>
      </c>
      <c r="C115" s="1">
        <f t="shared" si="136"/>
        <v>0</v>
      </c>
    </row>
    <row r="116" spans="1:3">
      <c r="A116" s="1">
        <v>2550000</v>
      </c>
      <c r="B116" s="1">
        <f t="shared" si="135"/>
        <v>81240450000</v>
      </c>
      <c r="C116" s="1">
        <f t="shared" si="136"/>
        <v>75870150000</v>
      </c>
    </row>
  </sheetData>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G5" sqref="G5"/>
    </sheetView>
  </sheetViews>
  <sheetFormatPr baseColWidth="10" defaultColWidth="8.83203125" defaultRowHeight="15" x14ac:dyDescent="0"/>
  <cols>
    <col min="1" max="1" width="14.5" style="27" customWidth="1"/>
    <col min="2" max="2" width="14.6640625" style="28" customWidth="1"/>
    <col min="3" max="3" width="16.1640625" style="27" bestFit="1" customWidth="1"/>
    <col min="4" max="4" width="4.5" style="27" customWidth="1"/>
    <col min="5" max="5" width="18.6640625" style="27" bestFit="1" customWidth="1"/>
    <col min="6" max="6" width="12.6640625" style="28" bestFit="1" customWidth="1"/>
    <col min="7" max="7" width="13.6640625" style="28" customWidth="1"/>
    <col min="8" max="8" width="12.6640625" style="28" bestFit="1" customWidth="1"/>
    <col min="9" max="9" width="8.83203125" style="27"/>
    <col min="10" max="10" width="14.6640625" style="27" bestFit="1" customWidth="1"/>
    <col min="11" max="11" width="12.5" style="28" bestFit="1" customWidth="1"/>
    <col min="12" max="12" width="9.33203125" style="27" bestFit="1" customWidth="1"/>
    <col min="13" max="16384" width="8.83203125" style="27"/>
  </cols>
  <sheetData>
    <row r="1" spans="1:7" ht="18">
      <c r="A1" s="26" t="s">
        <v>75</v>
      </c>
    </row>
    <row r="3" spans="1:7">
      <c r="A3" s="27" t="s">
        <v>1</v>
      </c>
      <c r="B3" s="28">
        <f>+G4</f>
        <v>57500000</v>
      </c>
      <c r="E3" s="16" t="s">
        <v>21</v>
      </c>
    </row>
    <row r="4" spans="1:7">
      <c r="A4" s="27" t="s">
        <v>2</v>
      </c>
      <c r="B4" s="28">
        <f>+G9</f>
        <v>13100000</v>
      </c>
      <c r="E4" s="27" t="s">
        <v>1</v>
      </c>
      <c r="F4" s="30">
        <v>5000000</v>
      </c>
      <c r="G4" s="31">
        <f>(F4*12)-F8</f>
        <v>57500000</v>
      </c>
    </row>
    <row r="5" spans="1:7">
      <c r="A5" s="16" t="s">
        <v>3</v>
      </c>
      <c r="B5" s="31">
        <f>SUM(B3:B4)</f>
        <v>70600000</v>
      </c>
      <c r="E5" s="27" t="s">
        <v>22</v>
      </c>
      <c r="F5" s="28">
        <f>+F4</f>
        <v>5000000</v>
      </c>
    </row>
    <row r="6" spans="1:7">
      <c r="A6" s="27" t="s">
        <v>4</v>
      </c>
      <c r="B6" s="28">
        <f>+G15</f>
        <v>5175000</v>
      </c>
      <c r="E6" s="27" t="s">
        <v>23</v>
      </c>
      <c r="F6" s="28">
        <f>+F5</f>
        <v>5000000</v>
      </c>
    </row>
    <row r="7" spans="1:7">
      <c r="A7" s="16" t="s">
        <v>5</v>
      </c>
      <c r="B7" s="31">
        <f>+B5-B6</f>
        <v>65425000</v>
      </c>
      <c r="C7" s="17" t="s">
        <v>48</v>
      </c>
      <c r="E7" s="27" t="s">
        <v>24</v>
      </c>
      <c r="F7" s="28">
        <f>+F6*0.12</f>
        <v>600000</v>
      </c>
    </row>
    <row r="8" spans="1:7">
      <c r="A8" s="27" t="s">
        <v>7</v>
      </c>
      <c r="B8" s="28">
        <f>+ROUND(G27,-3)</f>
        <v>27681000</v>
      </c>
      <c r="E8" s="27" t="s">
        <v>25</v>
      </c>
      <c r="F8" s="28">
        <f>+F6/2</f>
        <v>2500000</v>
      </c>
    </row>
    <row r="9" spans="1:7">
      <c r="A9" s="27" t="s">
        <v>8</v>
      </c>
      <c r="B9" s="28">
        <f>+ROUND(G20,-3)</f>
        <v>0</v>
      </c>
      <c r="E9" s="27" t="s">
        <v>2</v>
      </c>
      <c r="G9" s="31">
        <f>SUM(F5:F8)</f>
        <v>13100000</v>
      </c>
    </row>
    <row r="10" spans="1:7">
      <c r="A10" s="16" t="s">
        <v>3</v>
      </c>
      <c r="B10" s="31">
        <f>SUM(B8:B9)</f>
        <v>27681000</v>
      </c>
    </row>
    <row r="11" spans="1:7">
      <c r="A11" s="32" t="s">
        <v>6</v>
      </c>
      <c r="B11" s="33">
        <f>+ROUND(B7*0.4,0)</f>
        <v>26170000</v>
      </c>
      <c r="C11" s="34">
        <f>5040*UVT</f>
        <v>160569360</v>
      </c>
      <c r="E11" s="16" t="s">
        <v>4</v>
      </c>
    </row>
    <row r="12" spans="1:7">
      <c r="A12" s="27" t="s">
        <v>9</v>
      </c>
      <c r="B12" s="28">
        <f>+IF(AND(B10&lt;B11,B10&lt;C11),B10,IF(B11&lt;C11,B11,C11))</f>
        <v>26170000</v>
      </c>
      <c r="E12" s="27" t="s">
        <v>41</v>
      </c>
      <c r="F12" s="28">
        <f>+G4*4%</f>
        <v>2300000</v>
      </c>
      <c r="G12" s="31" t="s">
        <v>42</v>
      </c>
    </row>
    <row r="13" spans="1:7">
      <c r="A13" s="35" t="s">
        <v>10</v>
      </c>
      <c r="B13" s="36">
        <f>+B7-B12</f>
        <v>39255000</v>
      </c>
      <c r="E13" s="27" t="s">
        <v>32</v>
      </c>
      <c r="F13" s="28">
        <f>+G4*1%</f>
        <v>575000</v>
      </c>
      <c r="G13" s="31" t="s">
        <v>43</v>
      </c>
    </row>
    <row r="14" spans="1:7">
      <c r="A14" s="27" t="s">
        <v>0</v>
      </c>
      <c r="B14" s="28">
        <f>+B13/UVT</f>
        <v>1232.1479016918297</v>
      </c>
      <c r="E14" s="27" t="s">
        <v>26</v>
      </c>
      <c r="F14" s="28">
        <f>+G4*4%</f>
        <v>2300000</v>
      </c>
      <c r="G14" s="31" t="s">
        <v>43</v>
      </c>
    </row>
    <row r="15" spans="1:7">
      <c r="A15" s="27" t="s">
        <v>16</v>
      </c>
      <c r="B15" s="37">
        <f>+VLOOKUP(B14,Tabla241inc1[],2)</f>
        <v>0.19</v>
      </c>
      <c r="C15" s="17" t="s">
        <v>74</v>
      </c>
      <c r="G15" s="40">
        <f>SUM(F12:F14)</f>
        <v>5175000</v>
      </c>
    </row>
    <row r="16" spans="1:7">
      <c r="A16" s="27" t="s">
        <v>17</v>
      </c>
      <c r="B16" s="28">
        <f>+VLOOKUP(B14,Tabla241inc1[],3)</f>
        <v>1090</v>
      </c>
      <c r="E16" s="16" t="s">
        <v>8</v>
      </c>
      <c r="F16" s="34">
        <f>+IF(B11&gt;B10,B11-B10,0)</f>
        <v>0</v>
      </c>
      <c r="G16" s="31" t="s">
        <v>33</v>
      </c>
    </row>
    <row r="17" spans="1:8">
      <c r="A17" s="27" t="s">
        <v>18</v>
      </c>
      <c r="B17" s="28">
        <f>+VLOOKUP(B14,Tabla241inc1[],4)</f>
        <v>0</v>
      </c>
      <c r="E17" s="27" t="s">
        <v>27</v>
      </c>
      <c r="F17" s="28">
        <v>0</v>
      </c>
      <c r="G17" s="33">
        <f>16*12*UVT</f>
        <v>6116928</v>
      </c>
    </row>
    <row r="18" spans="1:8">
      <c r="A18" s="27" t="s">
        <v>19</v>
      </c>
      <c r="B18" s="38">
        <f>+(B14-B16)*B15+B17</f>
        <v>27.008101321447644</v>
      </c>
      <c r="E18" s="27" t="s">
        <v>28</v>
      </c>
      <c r="G18" s="39">
        <v>0.1</v>
      </c>
      <c r="H18" s="33">
        <f>32*12*UVT</f>
        <v>12233856</v>
      </c>
    </row>
    <row r="19" spans="1:8">
      <c r="A19" s="16" t="s">
        <v>20</v>
      </c>
      <c r="B19" s="31">
        <f>+ROUND(B18*UVT,-3)</f>
        <v>860000</v>
      </c>
      <c r="E19" s="27" t="s">
        <v>29</v>
      </c>
      <c r="G19" s="33">
        <f>1200*UVT</f>
        <v>38230800</v>
      </c>
    </row>
    <row r="20" spans="1:8">
      <c r="G20" s="40">
        <f>SUM(F17:F19)</f>
        <v>0</v>
      </c>
    </row>
    <row r="21" spans="1:8">
      <c r="E21" s="16" t="s">
        <v>31</v>
      </c>
    </row>
    <row r="22" spans="1:8">
      <c r="E22" s="27" t="s">
        <v>46</v>
      </c>
      <c r="H22" s="31" t="s">
        <v>47</v>
      </c>
    </row>
    <row r="23" spans="1:8">
      <c r="E23" s="27" t="s">
        <v>30</v>
      </c>
      <c r="F23" s="28">
        <v>12000000</v>
      </c>
      <c r="G23" s="28">
        <f>+(G4*30%)</f>
        <v>17250000</v>
      </c>
      <c r="H23" s="31" t="s">
        <v>44</v>
      </c>
    </row>
    <row r="24" spans="1:8">
      <c r="E24" s="27" t="s">
        <v>45</v>
      </c>
      <c r="F24" s="28">
        <f>+G24*25%</f>
        <v>10081250</v>
      </c>
      <c r="G24" s="28">
        <f>+(G4-F12-F14-F13-F23)</f>
        <v>40325000</v>
      </c>
      <c r="H24" s="31" t="s">
        <v>45</v>
      </c>
    </row>
    <row r="25" spans="1:8">
      <c r="E25" s="27" t="s">
        <v>52</v>
      </c>
      <c r="F25" s="28">
        <f>+F6</f>
        <v>5000000</v>
      </c>
      <c r="G25" s="28">
        <f>350*UVT</f>
        <v>11150650</v>
      </c>
      <c r="H25" s="31" t="s">
        <v>54</v>
      </c>
    </row>
    <row r="26" spans="1:8">
      <c r="E26" s="27" t="s">
        <v>53</v>
      </c>
      <c r="F26" s="28">
        <f>+F7</f>
        <v>600000</v>
      </c>
      <c r="G26" s="28">
        <v>0</v>
      </c>
      <c r="H26" s="31" t="s">
        <v>54</v>
      </c>
    </row>
    <row r="27" spans="1:8">
      <c r="G27" s="40">
        <f>SUM(F22:F26)</f>
        <v>27681250</v>
      </c>
      <c r="H27" s="31"/>
    </row>
  </sheetData>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9" sqref="F9"/>
    </sheetView>
  </sheetViews>
  <sheetFormatPr baseColWidth="10" defaultColWidth="8.83203125" defaultRowHeight="14" x14ac:dyDescent="0"/>
  <cols>
    <col min="1" max="1" width="13.5" customWidth="1"/>
    <col min="2" max="2" width="12.5" bestFit="1" customWidth="1"/>
    <col min="3" max="3" width="12.5" customWidth="1"/>
    <col min="5" max="5" width="18.5" customWidth="1"/>
    <col min="6" max="6" width="11.5" style="1" bestFit="1" customWidth="1"/>
    <col min="7" max="7" width="12.5" style="1" bestFit="1" customWidth="1"/>
    <col min="8" max="8" width="8.83203125" style="1"/>
  </cols>
  <sheetData>
    <row r="1" spans="1:7" ht="18">
      <c r="A1" s="26" t="s">
        <v>77</v>
      </c>
    </row>
    <row r="3" spans="1:7">
      <c r="A3" t="s">
        <v>72</v>
      </c>
      <c r="B3" s="9">
        <f>+G6</f>
        <v>60000000</v>
      </c>
      <c r="E3" s="8" t="s">
        <v>34</v>
      </c>
      <c r="F3" s="1">
        <v>12000</v>
      </c>
      <c r="G3" s="1">
        <f>+F3*UVT</f>
        <v>382308000</v>
      </c>
    </row>
    <row r="4" spans="1:7">
      <c r="A4" t="s">
        <v>22</v>
      </c>
      <c r="B4" s="9">
        <f>+F7</f>
        <v>10000000</v>
      </c>
      <c r="E4" t="s">
        <v>35</v>
      </c>
      <c r="G4" s="1">
        <f>+G3/14</f>
        <v>27307714.285714287</v>
      </c>
    </row>
    <row r="5" spans="1:7">
      <c r="A5" s="8" t="s">
        <v>3</v>
      </c>
      <c r="B5" s="11">
        <f>SUM(B3:B4)</f>
        <v>70000000</v>
      </c>
    </row>
    <row r="6" spans="1:7">
      <c r="A6" t="s">
        <v>4</v>
      </c>
      <c r="B6" s="1">
        <f>+ROUND(G14,-3)</f>
        <v>47789000</v>
      </c>
      <c r="E6" t="s">
        <v>73</v>
      </c>
      <c r="F6" s="1">
        <v>5000000</v>
      </c>
      <c r="G6" s="11">
        <f>+F6*12</f>
        <v>60000000</v>
      </c>
    </row>
    <row r="7" spans="1:7">
      <c r="A7" s="8" t="s">
        <v>5</v>
      </c>
      <c r="B7" s="11">
        <f>+B5-B6</f>
        <v>22211000</v>
      </c>
      <c r="C7" s="15" t="s">
        <v>48</v>
      </c>
      <c r="E7" t="s">
        <v>22</v>
      </c>
      <c r="F7" s="1">
        <f>+F6*2</f>
        <v>10000000</v>
      </c>
    </row>
    <row r="8" spans="1:7">
      <c r="A8" t="s">
        <v>7</v>
      </c>
      <c r="B8" s="1">
        <f>+IF(B7&lt;G3,B7,G3)</f>
        <v>22211000</v>
      </c>
    </row>
    <row r="9" spans="1:7">
      <c r="A9" t="s">
        <v>8</v>
      </c>
      <c r="B9" s="1">
        <v>0</v>
      </c>
      <c r="C9" s="25">
        <f>+B7-B8</f>
        <v>0</v>
      </c>
    </row>
    <row r="10" spans="1:7">
      <c r="A10" s="8" t="s">
        <v>3</v>
      </c>
      <c r="B10" s="11">
        <f>SUM(B8:B9)</f>
        <v>22211000</v>
      </c>
      <c r="E10" s="8" t="s">
        <v>4</v>
      </c>
    </row>
    <row r="11" spans="1:7">
      <c r="A11" s="2" t="s">
        <v>6</v>
      </c>
      <c r="B11" s="3">
        <f>+B10</f>
        <v>22211000</v>
      </c>
      <c r="E11" t="s">
        <v>41</v>
      </c>
      <c r="F11" s="1">
        <f>+G3*12.5%</f>
        <v>47788500</v>
      </c>
      <c r="G11" s="11" t="s">
        <v>42</v>
      </c>
    </row>
    <row r="12" spans="1:7">
      <c r="A12" t="s">
        <v>9</v>
      </c>
      <c r="B12" s="1">
        <f>+B11</f>
        <v>22211000</v>
      </c>
      <c r="E12" t="s">
        <v>32</v>
      </c>
      <c r="F12" s="1">
        <v>0</v>
      </c>
      <c r="G12" s="11" t="s">
        <v>43</v>
      </c>
    </row>
    <row r="13" spans="1:7">
      <c r="A13" s="13" t="s">
        <v>10</v>
      </c>
      <c r="B13" s="14">
        <f>+B7-B12</f>
        <v>0</v>
      </c>
      <c r="E13" t="s">
        <v>26</v>
      </c>
      <c r="F13" s="1">
        <v>0</v>
      </c>
      <c r="G13" s="11" t="s">
        <v>43</v>
      </c>
    </row>
    <row r="14" spans="1:7">
      <c r="A14" t="s">
        <v>0</v>
      </c>
      <c r="B14" s="1">
        <f>+B13/UVT</f>
        <v>0</v>
      </c>
      <c r="G14" s="11">
        <f>SUM(F11:F13)</f>
        <v>47788500</v>
      </c>
    </row>
    <row r="15" spans="1:7">
      <c r="A15" t="s">
        <v>16</v>
      </c>
      <c r="B15" s="6">
        <f>+VLOOKUP(B14,Tabla241inc1[],2)</f>
        <v>0</v>
      </c>
      <c r="C15" s="15" t="s">
        <v>74</v>
      </c>
    </row>
    <row r="16" spans="1:7">
      <c r="A16" t="s">
        <v>17</v>
      </c>
      <c r="B16" s="1">
        <f>+VLOOKUP(B14,Tabla241inc1[],3)</f>
        <v>0</v>
      </c>
    </row>
    <row r="17" spans="1:2">
      <c r="A17" t="s">
        <v>18</v>
      </c>
      <c r="B17" s="1">
        <f>+VLOOKUP(B14,Tabla241inc1[],4)</f>
        <v>0</v>
      </c>
    </row>
    <row r="18" spans="1:2">
      <c r="A18" t="s">
        <v>19</v>
      </c>
      <c r="B18" s="7">
        <f>+(B14-B16)*B15+B17</f>
        <v>0</v>
      </c>
    </row>
    <row r="19" spans="1:2">
      <c r="A19" s="8" t="s">
        <v>20</v>
      </c>
      <c r="B19" s="11">
        <f>+ROUND(B18*UVT,-3)</f>
        <v>0</v>
      </c>
    </row>
  </sheetData>
  <dataValidations disablePrompts="1" count="1">
    <dataValidation type="whole" allowBlank="1" showInputMessage="1" showErrorMessage="1" errorTitle="Valor Erroneo" error="Este Valor no es posible Deducirlo" promptTitle="Límite de Deducciones" prompt="Incluya un valor que no supere el monto señaldo al frente en rojo. De lo contrario, introduzca CERO_x000a_" sqref="B9">
      <formula1>0</formula1>
      <formula2>C9</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F16" sqref="F16"/>
    </sheetView>
  </sheetViews>
  <sheetFormatPr baseColWidth="10" defaultColWidth="8.83203125" defaultRowHeight="14" x14ac:dyDescent="0"/>
  <cols>
    <col min="1" max="1" width="14.6640625" bestFit="1" customWidth="1"/>
    <col min="2" max="3" width="11.5" bestFit="1" customWidth="1"/>
    <col min="5" max="5" width="15.5" bestFit="1" customWidth="1"/>
    <col min="6" max="6" width="12.5" style="1" bestFit="1" customWidth="1"/>
    <col min="7" max="7" width="11.5" bestFit="1" customWidth="1"/>
  </cols>
  <sheetData>
    <row r="1" spans="1:9" ht="18">
      <c r="A1" s="26" t="s">
        <v>76</v>
      </c>
    </row>
    <row r="3" spans="1:9">
      <c r="A3" t="s">
        <v>36</v>
      </c>
      <c r="B3" s="9">
        <f>+G7</f>
        <v>0</v>
      </c>
      <c r="E3" s="8" t="s">
        <v>21</v>
      </c>
    </row>
    <row r="4" spans="1:9">
      <c r="A4" t="s">
        <v>4</v>
      </c>
      <c r="B4" s="9">
        <f>+F9</f>
        <v>0</v>
      </c>
      <c r="E4" t="s">
        <v>37</v>
      </c>
      <c r="F4" s="1">
        <v>0</v>
      </c>
      <c r="I4" s="1"/>
    </row>
    <row r="5" spans="1:9">
      <c r="A5" s="8" t="s">
        <v>3</v>
      </c>
      <c r="B5" s="12">
        <f>+B3-B4</f>
        <v>0</v>
      </c>
      <c r="E5" t="s">
        <v>11</v>
      </c>
      <c r="F5" s="1">
        <v>0</v>
      </c>
      <c r="I5" s="1"/>
    </row>
    <row r="6" spans="1:9">
      <c r="A6" t="s">
        <v>8</v>
      </c>
      <c r="B6" s="9">
        <f>+F12</f>
        <v>0</v>
      </c>
      <c r="E6" t="s">
        <v>38</v>
      </c>
      <c r="I6" s="1"/>
    </row>
    <row r="7" spans="1:9">
      <c r="A7" t="s">
        <v>7</v>
      </c>
      <c r="B7" s="9">
        <f>+F15</f>
        <v>0</v>
      </c>
      <c r="G7" s="11">
        <f>SUM(F4:F6)</f>
        <v>0</v>
      </c>
      <c r="I7" s="1"/>
    </row>
    <row r="8" spans="1:9">
      <c r="A8" s="8" t="s">
        <v>3</v>
      </c>
      <c r="B8" s="12">
        <f>SUM(B6:B7)</f>
        <v>0</v>
      </c>
      <c r="E8" s="8" t="s">
        <v>4</v>
      </c>
      <c r="I8" s="1"/>
    </row>
    <row r="9" spans="1:9">
      <c r="A9" s="2" t="s">
        <v>6</v>
      </c>
      <c r="B9" s="3">
        <f>+ROUND(B5*10%,0)</f>
        <v>0</v>
      </c>
      <c r="C9" s="1">
        <f>1000*UVT</f>
        <v>31859000</v>
      </c>
      <c r="E9" t="s">
        <v>39</v>
      </c>
      <c r="F9" s="1">
        <f>-F5</f>
        <v>0</v>
      </c>
      <c r="I9" s="1"/>
    </row>
    <row r="10" spans="1:9">
      <c r="A10" t="s">
        <v>9</v>
      </c>
      <c r="B10" s="1">
        <f>+IF(AND(B8&lt;B9,B8&lt;C9),B8,IF(B9&lt;C9,B9,C9))</f>
        <v>0</v>
      </c>
      <c r="I10" s="1"/>
    </row>
    <row r="11" spans="1:9">
      <c r="A11" s="13" t="s">
        <v>10</v>
      </c>
      <c r="B11" s="14">
        <f>+B5-B10</f>
        <v>0</v>
      </c>
      <c r="E11" s="8" t="s">
        <v>8</v>
      </c>
      <c r="I11" s="1"/>
    </row>
    <row r="12" spans="1:9">
      <c r="A12" t="s">
        <v>0</v>
      </c>
      <c r="B12" s="1">
        <f>+B11/UVT</f>
        <v>0</v>
      </c>
      <c r="E12" t="s">
        <v>40</v>
      </c>
      <c r="I12" s="1"/>
    </row>
    <row r="13" spans="1:9">
      <c r="A13" t="s">
        <v>16</v>
      </c>
      <c r="B13" s="6">
        <f>+VLOOKUP(B12,Tabla241inc2[],2)</f>
        <v>0</v>
      </c>
      <c r="I13" s="1"/>
    </row>
    <row r="14" spans="1:9">
      <c r="A14" t="s">
        <v>17</v>
      </c>
      <c r="B14" s="1">
        <f>+VLOOKUP(B12,Tabla241inc2[],3)</f>
        <v>0</v>
      </c>
      <c r="E14" s="8" t="s">
        <v>7</v>
      </c>
      <c r="I14" s="1"/>
    </row>
    <row r="15" spans="1:9">
      <c r="A15" t="s">
        <v>18</v>
      </c>
      <c r="B15" s="1">
        <f>+VLOOKUP(B12,Tabla241inc2[],4)</f>
        <v>0</v>
      </c>
      <c r="E15" t="s">
        <v>38</v>
      </c>
      <c r="I15" s="1"/>
    </row>
    <row r="16" spans="1:9">
      <c r="A16" t="s">
        <v>19</v>
      </c>
      <c r="B16" s="7">
        <f>+(B12-B14)*B13+B15</f>
        <v>0</v>
      </c>
    </row>
    <row r="17" spans="1:2">
      <c r="A17" s="8" t="s">
        <v>20</v>
      </c>
      <c r="B17" s="11">
        <f>+ROUND(B16*UVT,-3)</f>
        <v>0</v>
      </c>
    </row>
  </sheetData>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E9" sqref="E9"/>
    </sheetView>
  </sheetViews>
  <sheetFormatPr baseColWidth="10" defaultColWidth="8.83203125" defaultRowHeight="14" x14ac:dyDescent="0"/>
  <cols>
    <col min="1" max="1" width="14.6640625" bestFit="1" customWidth="1"/>
    <col min="2" max="2" width="12.5" bestFit="1" customWidth="1"/>
    <col min="3" max="3" width="11.5" bestFit="1" customWidth="1"/>
    <col min="5" max="5" width="15.5" bestFit="1" customWidth="1"/>
    <col min="6" max="6" width="12.5" style="1" bestFit="1" customWidth="1"/>
    <col min="7" max="7" width="12.5" customWidth="1"/>
    <col min="8" max="8" width="4.5" customWidth="1"/>
    <col min="9" max="9" width="6.5" customWidth="1"/>
  </cols>
  <sheetData>
    <row r="1" spans="1:9" ht="18">
      <c r="A1" s="26" t="s">
        <v>78</v>
      </c>
    </row>
    <row r="2" spans="1:9" s="29" customFormat="1">
      <c r="A2" s="8"/>
      <c r="F2" s="1"/>
    </row>
    <row r="3" spans="1:9">
      <c r="A3" t="s">
        <v>36</v>
      </c>
      <c r="B3" s="9">
        <f>+G7</f>
        <v>15000000</v>
      </c>
      <c r="E3" s="8" t="s">
        <v>21</v>
      </c>
    </row>
    <row r="4" spans="1:9">
      <c r="A4" t="s">
        <v>4</v>
      </c>
      <c r="B4" s="9">
        <f>+F9</f>
        <v>0</v>
      </c>
      <c r="E4" t="s">
        <v>55</v>
      </c>
      <c r="F4" s="1">
        <v>15000000</v>
      </c>
      <c r="I4" s="1"/>
    </row>
    <row r="5" spans="1:9">
      <c r="A5" t="s">
        <v>123</v>
      </c>
      <c r="B5" s="9">
        <f>+F12</f>
        <v>2432000</v>
      </c>
      <c r="E5" t="s">
        <v>56</v>
      </c>
      <c r="I5" s="1"/>
    </row>
    <row r="6" spans="1:9">
      <c r="A6" s="8" t="s">
        <v>3</v>
      </c>
      <c r="B6" s="12">
        <f>+B3-B4-B5</f>
        <v>12568000</v>
      </c>
      <c r="E6" t="s">
        <v>57</v>
      </c>
      <c r="I6" s="1"/>
    </row>
    <row r="7" spans="1:9">
      <c r="A7" t="s">
        <v>8</v>
      </c>
      <c r="B7" s="9">
        <f>+F15</f>
        <v>0</v>
      </c>
      <c r="G7" s="11">
        <f>SUM(F4:F6)</f>
        <v>15000000</v>
      </c>
      <c r="I7" s="1"/>
    </row>
    <row r="8" spans="1:9">
      <c r="A8" t="s">
        <v>7</v>
      </c>
      <c r="B8" s="9">
        <f>+F18</f>
        <v>0</v>
      </c>
      <c r="E8" s="8" t="s">
        <v>4</v>
      </c>
      <c r="I8" s="1"/>
    </row>
    <row r="9" spans="1:9">
      <c r="A9" s="8" t="s">
        <v>3</v>
      </c>
      <c r="B9" s="12">
        <f>SUM(B7:B8)</f>
        <v>0</v>
      </c>
      <c r="E9" t="s">
        <v>56</v>
      </c>
      <c r="I9" s="1"/>
    </row>
    <row r="10" spans="1:9">
      <c r="A10" s="2" t="s">
        <v>6</v>
      </c>
      <c r="B10" s="3">
        <f>+ROUND(B6*10%,0)</f>
        <v>1256800</v>
      </c>
      <c r="C10" s="1">
        <f>1000*UVT</f>
        <v>31859000</v>
      </c>
      <c r="I10" s="1"/>
    </row>
    <row r="11" spans="1:9">
      <c r="A11" t="s">
        <v>9</v>
      </c>
      <c r="B11" s="1">
        <f>+IF(AND(B9&lt;B10,B9&lt;C10),B9,IF(B10&lt;C10,B10,C10))</f>
        <v>0</v>
      </c>
      <c r="E11" s="8" t="s">
        <v>123</v>
      </c>
      <c r="I11" s="1"/>
    </row>
    <row r="12" spans="1:9">
      <c r="A12" s="13" t="s">
        <v>10</v>
      </c>
      <c r="B12" s="14">
        <f>+B6-B11</f>
        <v>12568000</v>
      </c>
      <c r="E12" t="s">
        <v>58</v>
      </c>
      <c r="F12" s="1">
        <f>+G12*H12*(1+I12)</f>
        <v>2432000</v>
      </c>
      <c r="G12" s="1">
        <v>800000</v>
      </c>
      <c r="H12">
        <v>2</v>
      </c>
      <c r="I12" s="10">
        <v>0.52</v>
      </c>
    </row>
    <row r="13" spans="1:9">
      <c r="A13" t="s">
        <v>0</v>
      </c>
      <c r="B13" s="1">
        <f>+B12/UVT</f>
        <v>394.48821369157849</v>
      </c>
    </row>
    <row r="14" spans="1:9">
      <c r="A14" t="s">
        <v>16</v>
      </c>
      <c r="B14" s="6">
        <f>+VLOOKUP(B13,Tabla241inc2[],2)</f>
        <v>0</v>
      </c>
      <c r="E14" s="8" t="s">
        <v>8</v>
      </c>
      <c r="I14" s="1"/>
    </row>
    <row r="15" spans="1:9">
      <c r="A15" t="s">
        <v>17</v>
      </c>
      <c r="B15" s="1">
        <f>+VLOOKUP(B13,Tabla241inc2[],3)</f>
        <v>0</v>
      </c>
      <c r="E15" t="s">
        <v>58</v>
      </c>
      <c r="G15" s="1">
        <v>800000</v>
      </c>
      <c r="H15">
        <v>2</v>
      </c>
      <c r="I15" s="10">
        <v>0.52</v>
      </c>
    </row>
    <row r="16" spans="1:9">
      <c r="A16" t="s">
        <v>18</v>
      </c>
      <c r="B16" s="1">
        <f>+VLOOKUP(B13,Tabla241inc2[],4)</f>
        <v>0</v>
      </c>
      <c r="I16" s="1"/>
    </row>
    <row r="17" spans="1:9">
      <c r="A17" t="s">
        <v>19</v>
      </c>
      <c r="B17" s="7">
        <f>+(B13-B15)*B14+B16</f>
        <v>0</v>
      </c>
      <c r="E17" s="8" t="s">
        <v>7</v>
      </c>
      <c r="I17" s="1"/>
    </row>
    <row r="18" spans="1:9">
      <c r="A18" s="8" t="s">
        <v>20</v>
      </c>
      <c r="B18" s="11">
        <f>+ROUND(B17*UVT,-3)</f>
        <v>0</v>
      </c>
      <c r="E18" t="s">
        <v>59</v>
      </c>
      <c r="I18" s="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6" sqref="B6"/>
    </sheetView>
  </sheetViews>
  <sheetFormatPr baseColWidth="10" defaultColWidth="8.83203125" defaultRowHeight="14" x14ac:dyDescent="0"/>
  <cols>
    <col min="1" max="1" width="19.5" bestFit="1" customWidth="1"/>
    <col min="2" max="2" width="11.5" style="1" bestFit="1" customWidth="1"/>
    <col min="3" max="3" width="13.5" bestFit="1" customWidth="1"/>
    <col min="4" max="4" width="11.5" style="1" bestFit="1" customWidth="1"/>
  </cols>
  <sheetData>
    <row r="1" spans="1:4">
      <c r="A1" t="s">
        <v>60</v>
      </c>
    </row>
    <row r="2" spans="1:4">
      <c r="A2" t="s">
        <v>62</v>
      </c>
      <c r="C2" s="8" t="s">
        <v>63</v>
      </c>
      <c r="D2" s="11">
        <f>ROUND(600*UVT,-3)</f>
        <v>19115000</v>
      </c>
    </row>
    <row r="3" spans="1:4">
      <c r="A3" t="s">
        <v>61</v>
      </c>
      <c r="C3" s="4">
        <v>0.35</v>
      </c>
    </row>
    <row r="5" spans="1:4">
      <c r="A5" s="8" t="s">
        <v>64</v>
      </c>
    </row>
    <row r="6" spans="1:4">
      <c r="A6" t="s">
        <v>65</v>
      </c>
      <c r="B6" s="1">
        <f>+B2</f>
        <v>0</v>
      </c>
    </row>
    <row r="7" spans="1:4">
      <c r="A7" t="s">
        <v>0</v>
      </c>
      <c r="B7" s="1">
        <f>+B6/UVT</f>
        <v>0</v>
      </c>
    </row>
    <row r="8" spans="1:4">
      <c r="A8" t="s">
        <v>16</v>
      </c>
      <c r="B8" s="6">
        <f>+VLOOKUP(B7,Tabla242inc1[],2)</f>
        <v>0</v>
      </c>
    </row>
    <row r="9" spans="1:4">
      <c r="A9" t="s">
        <v>17</v>
      </c>
      <c r="B9" s="1">
        <f>+VLOOKUP(B7,Tabla242inc1[],3)</f>
        <v>0</v>
      </c>
    </row>
    <row r="10" spans="1:4">
      <c r="A10" t="s">
        <v>18</v>
      </c>
      <c r="B10" s="1">
        <f>+VLOOKUP(B7,Tabla242inc1[],4)</f>
        <v>0</v>
      </c>
    </row>
    <row r="11" spans="1:4">
      <c r="A11" t="s">
        <v>19</v>
      </c>
      <c r="B11" s="7">
        <f>+(B7-B9)*B8+B10</f>
        <v>0</v>
      </c>
    </row>
    <row r="12" spans="1:4">
      <c r="A12" s="8" t="s">
        <v>68</v>
      </c>
      <c r="B12" s="20">
        <f>+ROUND(B11*UVT,-3)</f>
        <v>0</v>
      </c>
    </row>
    <row r="14" spans="1:4">
      <c r="A14" s="8" t="s">
        <v>66</v>
      </c>
    </row>
    <row r="15" spans="1:4">
      <c r="A15" t="s">
        <v>61</v>
      </c>
      <c r="B15" s="1">
        <f>+B3</f>
        <v>0</v>
      </c>
    </row>
    <row r="16" spans="1:4">
      <c r="A16" t="s">
        <v>67</v>
      </c>
      <c r="B16" s="10">
        <f>+C3</f>
        <v>0.35</v>
      </c>
    </row>
    <row r="17" spans="1:2">
      <c r="A17" s="8" t="s">
        <v>79</v>
      </c>
      <c r="B17" s="11">
        <f>+ROUND(B15*B16,-3)</f>
        <v>0</v>
      </c>
    </row>
    <row r="18" spans="1:2">
      <c r="A18" t="s">
        <v>3</v>
      </c>
      <c r="B18" s="1">
        <f>+B15-B17</f>
        <v>0</v>
      </c>
    </row>
    <row r="19" spans="1:2">
      <c r="A19" t="s">
        <v>0</v>
      </c>
      <c r="B19" s="1">
        <f>+B18/UVT</f>
        <v>0</v>
      </c>
    </row>
    <row r="20" spans="1:2">
      <c r="A20" t="s">
        <v>16</v>
      </c>
      <c r="B20" s="6">
        <f>+VLOOKUP(B19,Tabla242inc1[],2)</f>
        <v>0</v>
      </c>
    </row>
    <row r="21" spans="1:2">
      <c r="A21" t="s">
        <v>17</v>
      </c>
      <c r="B21" s="1">
        <f>+VLOOKUP(B19,Tabla242inc1[],3)</f>
        <v>0</v>
      </c>
    </row>
    <row r="22" spans="1:2">
      <c r="A22" t="s">
        <v>18</v>
      </c>
      <c r="B22" s="1">
        <f>+VLOOKUP(B19,Tabla242inc1[],4)</f>
        <v>0</v>
      </c>
    </row>
    <row r="23" spans="1:2">
      <c r="A23" t="s">
        <v>19</v>
      </c>
      <c r="B23" s="7">
        <f>+(B19-B21)*B20+B22</f>
        <v>0</v>
      </c>
    </row>
    <row r="24" spans="1:2">
      <c r="A24" s="8" t="s">
        <v>79</v>
      </c>
      <c r="B24" s="11">
        <f>+ROUND(B23*UVT,-3)</f>
        <v>0</v>
      </c>
    </row>
    <row r="25" spans="1:2">
      <c r="A25" s="8" t="s">
        <v>68</v>
      </c>
      <c r="B25" s="20">
        <f>+B17+B24</f>
        <v>0</v>
      </c>
    </row>
    <row r="27" spans="1:2">
      <c r="A27" s="8" t="s">
        <v>80</v>
      </c>
      <c r="B27" s="20">
        <f>+B12+B25</f>
        <v>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workbookViewId="0">
      <selection activeCell="D1" sqref="D1"/>
    </sheetView>
  </sheetViews>
  <sheetFormatPr baseColWidth="10" defaultColWidth="8.83203125" defaultRowHeight="14" x14ac:dyDescent="0"/>
  <cols>
    <col min="1" max="1" width="20.5" bestFit="1" customWidth="1"/>
    <col min="2" max="2" width="12.5" bestFit="1" customWidth="1"/>
    <col min="5" max="5" width="72.83203125" customWidth="1"/>
    <col min="6" max="6" width="16.5" bestFit="1" customWidth="1"/>
  </cols>
  <sheetData>
    <row r="1" spans="1:6" ht="15">
      <c r="A1" s="76" t="s">
        <v>125</v>
      </c>
      <c r="D1" s="16" t="s">
        <v>128</v>
      </c>
    </row>
    <row r="3" spans="1:6">
      <c r="A3" t="s">
        <v>81</v>
      </c>
      <c r="B3" s="9">
        <f>+'Cedula Rentas Trabajo'!B13+'Cedula de Pensiones'!B13+'Cedula Rentas Capital'!B11+'Cedula Dividendos'!B2+'Cedula Dividendos'!B3+'Cedula Rentas No Laborales'!B12</f>
        <v>51823000</v>
      </c>
      <c r="D3" s="41" t="s">
        <v>83</v>
      </c>
      <c r="E3" s="42"/>
      <c r="F3" s="42"/>
    </row>
    <row r="4" spans="1:6">
      <c r="A4" t="s">
        <v>82</v>
      </c>
      <c r="B4" s="9">
        <f>+F76</f>
        <v>54605000</v>
      </c>
      <c r="D4" s="43" t="s">
        <v>84</v>
      </c>
      <c r="E4" s="42"/>
      <c r="F4" s="44">
        <v>46464000</v>
      </c>
    </row>
    <row r="5" spans="1:6">
      <c r="D5" s="45"/>
      <c r="E5" s="46"/>
      <c r="F5" s="44"/>
    </row>
    <row r="6" spans="1:6">
      <c r="A6" t="s">
        <v>121</v>
      </c>
      <c r="B6" s="9">
        <f>+IF(B4&gt;B3,B4-B3,0)</f>
        <v>2782000</v>
      </c>
      <c r="D6" s="45" t="s">
        <v>85</v>
      </c>
      <c r="E6" s="46"/>
      <c r="F6" s="44"/>
    </row>
    <row r="7" spans="1:6">
      <c r="A7" t="s">
        <v>122</v>
      </c>
      <c r="B7" s="9">
        <f>+'Cedula Rentas No Laborales'!B12</f>
        <v>12568000</v>
      </c>
      <c r="D7" s="45"/>
      <c r="E7" s="46"/>
      <c r="F7" s="44"/>
    </row>
    <row r="8" spans="1:6">
      <c r="D8" s="45" t="s">
        <v>86</v>
      </c>
      <c r="E8" s="46"/>
      <c r="F8" s="44">
        <v>986667000</v>
      </c>
    </row>
    <row r="9" spans="1:6">
      <c r="D9" s="45"/>
      <c r="E9" s="46"/>
      <c r="F9" s="44"/>
    </row>
    <row r="10" spans="1:6" ht="15">
      <c r="A10" s="76" t="s">
        <v>124</v>
      </c>
      <c r="D10" s="45" t="s">
        <v>87</v>
      </c>
      <c r="E10" s="46"/>
      <c r="F10" s="44">
        <v>0</v>
      </c>
    </row>
    <row r="11" spans="1:6">
      <c r="D11" s="45"/>
      <c r="E11" s="46"/>
      <c r="F11" s="44"/>
    </row>
    <row r="12" spans="1:6">
      <c r="A12" s="13" t="s">
        <v>10</v>
      </c>
      <c r="B12" s="14">
        <f>IF(B6&gt;0,+B6+B7,0)</f>
        <v>15350000</v>
      </c>
      <c r="D12" s="45" t="s">
        <v>88</v>
      </c>
      <c r="E12" s="46"/>
      <c r="F12" s="44"/>
    </row>
    <row r="13" spans="1:6">
      <c r="A13" t="s">
        <v>0</v>
      </c>
      <c r="B13" s="1">
        <f>+B12/UVT</f>
        <v>481.81047741611474</v>
      </c>
      <c r="D13" s="45"/>
      <c r="E13" s="46"/>
      <c r="F13" s="44"/>
    </row>
    <row r="14" spans="1:6">
      <c r="A14" t="s">
        <v>16</v>
      </c>
      <c r="B14" s="6">
        <f>+VLOOKUP(B13,Tabla241inc2[],2)</f>
        <v>0</v>
      </c>
      <c r="D14" s="45" t="s">
        <v>89</v>
      </c>
      <c r="E14" s="46"/>
      <c r="F14" s="44">
        <v>30459000</v>
      </c>
    </row>
    <row r="15" spans="1:6">
      <c r="A15" t="s">
        <v>17</v>
      </c>
      <c r="B15" s="1">
        <f>+VLOOKUP(B13,Tabla241inc2[],3)</f>
        <v>0</v>
      </c>
      <c r="D15" s="45"/>
      <c r="E15" s="46"/>
      <c r="F15" s="44"/>
    </row>
    <row r="16" spans="1:6">
      <c r="A16" t="s">
        <v>18</v>
      </c>
      <c r="B16" s="1">
        <f>+VLOOKUP(B13,Tabla241inc2[],4)</f>
        <v>0</v>
      </c>
      <c r="D16" s="45" t="s">
        <v>90</v>
      </c>
      <c r="E16" s="46"/>
      <c r="F16" s="44">
        <v>0</v>
      </c>
    </row>
    <row r="17" spans="1:6">
      <c r="A17" t="s">
        <v>19</v>
      </c>
      <c r="B17" s="7">
        <f>+(B13-B15)*B14+B16</f>
        <v>0</v>
      </c>
      <c r="D17" s="45"/>
      <c r="E17" s="46"/>
      <c r="F17" s="44"/>
    </row>
    <row r="18" spans="1:6">
      <c r="A18" s="8" t="s">
        <v>20</v>
      </c>
      <c r="B18" s="11">
        <f>+ROUND(B17*UVT,-3)</f>
        <v>0</v>
      </c>
      <c r="D18" s="45" t="s">
        <v>91</v>
      </c>
      <c r="E18" s="46"/>
      <c r="F18" s="44"/>
    </row>
    <row r="19" spans="1:6">
      <c r="D19" s="45"/>
      <c r="E19" s="46"/>
      <c r="F19" s="44"/>
    </row>
    <row r="20" spans="1:6">
      <c r="D20" s="45" t="s">
        <v>92</v>
      </c>
      <c r="E20" s="46"/>
      <c r="F20" s="44"/>
    </row>
    <row r="21" spans="1:6">
      <c r="D21" s="45"/>
      <c r="E21" s="46"/>
      <c r="F21" s="44">
        <v>0</v>
      </c>
    </row>
    <row r="22" spans="1:6">
      <c r="D22" s="45" t="s">
        <v>93</v>
      </c>
      <c r="E22" s="46"/>
      <c r="F22" s="44">
        <v>500000000</v>
      </c>
    </row>
    <row r="23" spans="1:6">
      <c r="D23" s="45"/>
      <c r="E23" s="46"/>
      <c r="F23" s="44"/>
    </row>
    <row r="24" spans="1:6">
      <c r="D24" s="45" t="s">
        <v>94</v>
      </c>
      <c r="E24" s="46"/>
      <c r="F24" s="44"/>
    </row>
    <row r="25" spans="1:6">
      <c r="D25" s="45"/>
      <c r="E25" s="46"/>
      <c r="F25" s="44"/>
    </row>
    <row r="26" spans="1:6" ht="27" customHeight="1">
      <c r="D26" s="81" t="s">
        <v>95</v>
      </c>
      <c r="E26" s="82"/>
      <c r="F26" s="44"/>
    </row>
    <row r="27" spans="1:6">
      <c r="D27" s="45" t="s">
        <v>96</v>
      </c>
      <c r="E27" s="46"/>
      <c r="F27" s="44"/>
    </row>
    <row r="28" spans="1:6" ht="26.25" customHeight="1">
      <c r="D28" s="83" t="s">
        <v>112</v>
      </c>
      <c r="E28" s="83"/>
      <c r="F28" s="74">
        <v>0</v>
      </c>
    </row>
    <row r="29" spans="1:6">
      <c r="D29" s="45"/>
      <c r="E29" s="46"/>
      <c r="F29" s="44"/>
    </row>
    <row r="30" spans="1:6" ht="42.75" customHeight="1">
      <c r="D30" s="83" t="s">
        <v>119</v>
      </c>
      <c r="E30" s="83"/>
      <c r="F30" s="74">
        <v>0</v>
      </c>
    </row>
    <row r="31" spans="1:6">
      <c r="D31" s="45" t="s">
        <v>97</v>
      </c>
      <c r="E31" s="46"/>
      <c r="F31" s="44"/>
    </row>
    <row r="32" spans="1:6">
      <c r="D32" s="45" t="s">
        <v>97</v>
      </c>
      <c r="E32" s="46"/>
      <c r="F32" s="44"/>
    </row>
    <row r="33" spans="4:6">
      <c r="D33" s="45"/>
      <c r="E33" s="47" t="s">
        <v>110</v>
      </c>
      <c r="F33" s="48">
        <f>SUM(F4:F32)</f>
        <v>1563590000</v>
      </c>
    </row>
    <row r="34" spans="4:6">
      <c r="D34" s="49" t="s">
        <v>98</v>
      </c>
      <c r="E34" s="46"/>
      <c r="F34" s="44"/>
    </row>
    <row r="35" spans="4:6">
      <c r="D35" s="50" t="s">
        <v>99</v>
      </c>
      <c r="E35" s="51"/>
      <c r="F35" s="44">
        <v>3448000</v>
      </c>
    </row>
    <row r="36" spans="4:6">
      <c r="D36" s="50"/>
      <c r="E36" s="47" t="s">
        <v>111</v>
      </c>
      <c r="F36" s="48">
        <f>+F33-F35</f>
        <v>1560142000</v>
      </c>
    </row>
    <row r="37" spans="4:6">
      <c r="D37" s="52"/>
      <c r="E37" s="53" t="s">
        <v>100</v>
      </c>
      <c r="F37" s="54">
        <f>+F36/F33</f>
        <v>0.99779481833472972</v>
      </c>
    </row>
    <row r="38" spans="4:6">
      <c r="D38" s="50"/>
      <c r="E38" s="51"/>
      <c r="F38" s="55"/>
    </row>
    <row r="39" spans="4:6">
      <c r="D39" s="73" t="s">
        <v>114</v>
      </c>
      <c r="E39" s="71"/>
      <c r="F39" s="72"/>
    </row>
    <row r="40" spans="4:6">
      <c r="D40" s="49"/>
      <c r="E40" s="51"/>
      <c r="F40" s="55"/>
    </row>
    <row r="41" spans="4:6">
      <c r="D41" s="52" t="s">
        <v>113</v>
      </c>
      <c r="E41" s="51"/>
      <c r="F41" s="55">
        <f>+F36</f>
        <v>1560142000</v>
      </c>
    </row>
    <row r="42" spans="4:6">
      <c r="D42" s="52"/>
      <c r="E42" s="51"/>
      <c r="F42" s="55"/>
    </row>
    <row r="43" spans="4:6">
      <c r="D43" s="50" t="s">
        <v>101</v>
      </c>
      <c r="E43" s="51"/>
      <c r="F43" s="55"/>
    </row>
    <row r="44" spans="4:6">
      <c r="D44" s="50"/>
      <c r="E44" s="51"/>
      <c r="F44" s="55"/>
    </row>
    <row r="45" spans="4:6">
      <c r="D45" s="56"/>
      <c r="E45" s="51" t="s">
        <v>102</v>
      </c>
      <c r="F45" s="57">
        <f>-ROUND(F12*F37,-3)</f>
        <v>0</v>
      </c>
    </row>
    <row r="46" spans="4:6">
      <c r="D46" s="56"/>
      <c r="E46" s="51"/>
      <c r="F46" s="57"/>
    </row>
    <row r="47" spans="4:6" ht="31.5" customHeight="1">
      <c r="D47" s="84" t="s">
        <v>115</v>
      </c>
      <c r="E47" s="85"/>
      <c r="F47" s="57"/>
    </row>
    <row r="48" spans="4:6">
      <c r="D48" s="56"/>
      <c r="E48" s="51"/>
      <c r="F48" s="57"/>
    </row>
    <row r="49" spans="4:6">
      <c r="D49" s="58"/>
      <c r="E49" s="51"/>
      <c r="F49" s="57"/>
    </row>
    <row r="50" spans="4:6">
      <c r="D50" s="58"/>
      <c r="E50" s="51" t="s">
        <v>103</v>
      </c>
      <c r="F50" s="57">
        <f>-ROUND(F28*F37,-3)</f>
        <v>0</v>
      </c>
    </row>
    <row r="51" spans="4:6">
      <c r="D51" s="56"/>
      <c r="E51" s="51"/>
      <c r="F51" s="57"/>
    </row>
    <row r="52" spans="4:6">
      <c r="D52" s="50" t="s">
        <v>104</v>
      </c>
      <c r="E52" s="51" t="s">
        <v>105</v>
      </c>
      <c r="F52" s="57"/>
    </row>
    <row r="53" spans="4:6">
      <c r="D53" s="56"/>
      <c r="E53" s="51"/>
      <c r="F53" s="57"/>
    </row>
    <row r="54" spans="4:6" ht="34.5" customHeight="1">
      <c r="D54" s="84" t="s">
        <v>106</v>
      </c>
      <c r="E54" s="85"/>
      <c r="F54" s="57">
        <f>-ROUND(F26,-3)</f>
        <v>0</v>
      </c>
    </row>
    <row r="55" spans="4:6">
      <c r="D55" s="56"/>
      <c r="E55" s="51"/>
      <c r="F55" s="57"/>
    </row>
    <row r="56" spans="4:6" ht="53.25" customHeight="1">
      <c r="D56" s="86" t="s">
        <v>116</v>
      </c>
      <c r="E56" s="87"/>
      <c r="F56" s="57">
        <f>-ROUND(IF(F20&gt;(8000*UVT),(8000*UVT),F20),-3)</f>
        <v>0</v>
      </c>
    </row>
    <row r="57" spans="4:6">
      <c r="D57" s="56"/>
      <c r="E57" s="59"/>
      <c r="F57" s="57"/>
    </row>
    <row r="58" spans="4:6" ht="65.25" customHeight="1">
      <c r="D58" s="88" t="s">
        <v>117</v>
      </c>
      <c r="E58" s="89"/>
      <c r="F58" s="57">
        <f>-ROUND(IF(F18&gt;(19000*UVT),(19000*UVT),F18),-3)</f>
        <v>0</v>
      </c>
    </row>
    <row r="59" spans="4:6">
      <c r="D59" s="58"/>
      <c r="E59" s="60"/>
      <c r="F59" s="57"/>
    </row>
    <row r="60" spans="4:6" ht="56.25" customHeight="1">
      <c r="D60" s="90" t="s">
        <v>118</v>
      </c>
      <c r="E60" s="91"/>
      <c r="F60" s="57">
        <f>-F6</f>
        <v>0</v>
      </c>
    </row>
    <row r="61" spans="4:6">
      <c r="D61" s="50"/>
      <c r="E61" s="51"/>
      <c r="F61" s="57"/>
    </row>
    <row r="62" spans="4:6">
      <c r="D62" s="50"/>
      <c r="E62" s="79" t="s">
        <v>107</v>
      </c>
      <c r="F62" s="57"/>
    </row>
    <row r="63" spans="4:6">
      <c r="D63" s="50"/>
      <c r="E63" s="79"/>
      <c r="F63" s="57"/>
    </row>
    <row r="64" spans="4:6" ht="15" thickBot="1">
      <c r="D64" s="50"/>
      <c r="E64" s="79"/>
      <c r="F64" s="61">
        <f>-F10</f>
        <v>0</v>
      </c>
    </row>
    <row r="65" spans="4:6">
      <c r="D65" s="50"/>
      <c r="E65" s="62" t="s">
        <v>108</v>
      </c>
      <c r="F65" s="63">
        <f>IF(SUM(F41:F64)&gt;0,SUM(F41:F64),0)</f>
        <v>1560142000</v>
      </c>
    </row>
    <row r="66" spans="4:6">
      <c r="D66" s="50"/>
      <c r="E66" s="43"/>
      <c r="F66" s="64"/>
    </row>
    <row r="67" spans="4:6" ht="15" thickBot="1">
      <c r="D67" s="52"/>
      <c r="E67" s="65" t="s">
        <v>67</v>
      </c>
      <c r="F67" s="75">
        <v>3.5000000000000003E-2</v>
      </c>
    </row>
    <row r="68" spans="4:6">
      <c r="D68" s="52"/>
      <c r="E68" s="65"/>
      <c r="F68" s="66"/>
    </row>
    <row r="69" spans="4:6">
      <c r="D69" s="50"/>
      <c r="E69" s="65" t="s">
        <v>3</v>
      </c>
      <c r="F69" s="64">
        <f>IF(F65&gt;0,ROUND(F65*F67,-3),0)</f>
        <v>54605000</v>
      </c>
    </row>
    <row r="70" spans="4:6">
      <c r="D70" s="52"/>
      <c r="E70" s="80" t="s">
        <v>126</v>
      </c>
      <c r="F70" s="64"/>
    </row>
    <row r="71" spans="4:6">
      <c r="D71" s="50"/>
      <c r="E71" s="80"/>
      <c r="F71" s="64"/>
    </row>
    <row r="72" spans="4:6">
      <c r="D72" s="50"/>
      <c r="E72" s="67"/>
      <c r="F72" s="64"/>
    </row>
    <row r="73" spans="4:6" ht="26.25" customHeight="1">
      <c r="D73" s="77" t="s">
        <v>127</v>
      </c>
      <c r="E73" s="78"/>
      <c r="F73" s="64">
        <v>0</v>
      </c>
    </row>
    <row r="74" spans="4:6">
      <c r="D74" s="68"/>
      <c r="E74" s="67" t="s">
        <v>109</v>
      </c>
      <c r="F74" s="64"/>
    </row>
    <row r="75" spans="4:6">
      <c r="D75" s="50"/>
      <c r="E75" s="67"/>
      <c r="F75" s="64"/>
    </row>
    <row r="76" spans="4:6">
      <c r="D76" s="50"/>
      <c r="E76" s="69" t="s">
        <v>120</v>
      </c>
      <c r="F76" s="70">
        <f>+F69+F73</f>
        <v>54605000</v>
      </c>
    </row>
  </sheetData>
  <mergeCells count="11">
    <mergeCell ref="D73:E73"/>
    <mergeCell ref="E62:E64"/>
    <mergeCell ref="E70:E71"/>
    <mergeCell ref="D26:E26"/>
    <mergeCell ref="D28:E28"/>
    <mergeCell ref="D30:E30"/>
    <mergeCell ref="D47:E47"/>
    <mergeCell ref="D54:E54"/>
    <mergeCell ref="D56:E56"/>
    <mergeCell ref="D58:E58"/>
    <mergeCell ref="D60:E60"/>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I15" sqref="I15"/>
    </sheetView>
  </sheetViews>
  <sheetFormatPr baseColWidth="10" defaultColWidth="8.83203125" defaultRowHeight="14" x14ac:dyDescent="0"/>
  <cols>
    <col min="2" max="2" width="12.6640625" customWidth="1"/>
    <col min="3" max="3" width="10.5" customWidth="1"/>
    <col min="4" max="4" width="10.33203125" customWidth="1"/>
    <col min="7" max="7" width="12.5" customWidth="1"/>
    <col min="8" max="8" width="11.1640625" customWidth="1"/>
    <col min="9" max="9" width="11.6640625" customWidth="1"/>
  </cols>
  <sheetData>
    <row r="1" spans="1:9">
      <c r="A1" s="8" t="s">
        <v>49</v>
      </c>
      <c r="F1" s="8" t="s">
        <v>50</v>
      </c>
    </row>
    <row r="2" spans="1:9">
      <c r="A2" t="s">
        <v>12</v>
      </c>
      <c r="B2" t="s">
        <v>13</v>
      </c>
      <c r="C2" s="5" t="s">
        <v>14</v>
      </c>
      <c r="D2" s="5" t="s">
        <v>15</v>
      </c>
      <c r="F2" t="s">
        <v>12</v>
      </c>
      <c r="G2" t="s">
        <v>13</v>
      </c>
      <c r="H2" s="5" t="s">
        <v>14</v>
      </c>
      <c r="I2" s="5" t="s">
        <v>15</v>
      </c>
    </row>
    <row r="3" spans="1:9">
      <c r="A3">
        <v>0</v>
      </c>
      <c r="B3" s="4">
        <v>0</v>
      </c>
      <c r="F3">
        <v>0</v>
      </c>
      <c r="G3" s="4">
        <v>0</v>
      </c>
    </row>
    <row r="4" spans="1:9">
      <c r="A4">
        <v>1090</v>
      </c>
      <c r="B4" s="4">
        <v>0.19</v>
      </c>
      <c r="C4">
        <v>1090</v>
      </c>
      <c r="F4">
        <v>600</v>
      </c>
      <c r="G4" s="4">
        <v>0.1</v>
      </c>
      <c r="H4">
        <v>600</v>
      </c>
    </row>
    <row r="5" spans="1:9">
      <c r="A5">
        <v>1700</v>
      </c>
      <c r="B5" s="4">
        <v>0.28000000000000003</v>
      </c>
      <c r="C5">
        <v>1700</v>
      </c>
      <c r="D5">
        <v>116</v>
      </c>
      <c r="F5">
        <v>1000</v>
      </c>
      <c r="G5" s="4">
        <v>0.2</v>
      </c>
      <c r="H5">
        <v>1000</v>
      </c>
      <c r="I5">
        <v>40</v>
      </c>
    </row>
    <row r="6" spans="1:9">
      <c r="A6">
        <v>4100</v>
      </c>
      <c r="B6" s="4">
        <v>0.33</v>
      </c>
      <c r="C6">
        <v>4100</v>
      </c>
      <c r="D6">
        <v>788</v>
      </c>
      <c r="F6">
        <v>2000</v>
      </c>
      <c r="G6" s="4">
        <v>0.3</v>
      </c>
      <c r="H6">
        <v>2000</v>
      </c>
      <c r="I6">
        <v>240</v>
      </c>
    </row>
    <row r="7" spans="1:9">
      <c r="F7">
        <v>3000</v>
      </c>
      <c r="G7" s="4">
        <v>0.33</v>
      </c>
      <c r="H7">
        <v>3000</v>
      </c>
      <c r="I7">
        <v>540</v>
      </c>
    </row>
    <row r="8" spans="1:9">
      <c r="F8">
        <v>4000</v>
      </c>
      <c r="G8" s="4">
        <v>0.35</v>
      </c>
      <c r="H8">
        <v>4000</v>
      </c>
      <c r="I8">
        <v>870</v>
      </c>
    </row>
    <row r="11" spans="1:9">
      <c r="A11" s="8" t="s">
        <v>51</v>
      </c>
    </row>
    <row r="12" spans="1:9">
      <c r="A12" t="s">
        <v>12</v>
      </c>
      <c r="B12" t="s">
        <v>13</v>
      </c>
      <c r="C12" s="5" t="s">
        <v>14</v>
      </c>
      <c r="D12" s="5" t="s">
        <v>15</v>
      </c>
      <c r="F12" t="s">
        <v>12</v>
      </c>
      <c r="G12" t="s">
        <v>13</v>
      </c>
      <c r="H12" s="5" t="s">
        <v>14</v>
      </c>
      <c r="I12" s="5" t="s">
        <v>15</v>
      </c>
    </row>
    <row r="13" spans="1:9">
      <c r="A13">
        <v>0</v>
      </c>
      <c r="B13" s="4">
        <v>0</v>
      </c>
      <c r="F13">
        <v>0</v>
      </c>
      <c r="G13" s="4">
        <v>0</v>
      </c>
    </row>
    <row r="14" spans="1:9">
      <c r="A14">
        <v>95</v>
      </c>
      <c r="B14" s="4">
        <v>0.19</v>
      </c>
      <c r="C14">
        <v>95</v>
      </c>
      <c r="F14">
        <v>600</v>
      </c>
      <c r="G14" s="4">
        <v>0.05</v>
      </c>
      <c r="H14">
        <v>600</v>
      </c>
    </row>
    <row r="15" spans="1:9">
      <c r="A15">
        <v>150</v>
      </c>
      <c r="B15" s="4">
        <v>0.28000000000000003</v>
      </c>
      <c r="C15">
        <v>150</v>
      </c>
      <c r="D15">
        <v>10</v>
      </c>
      <c r="F15">
        <v>1000</v>
      </c>
      <c r="G15" s="4">
        <v>0.1</v>
      </c>
      <c r="H15">
        <v>1000</v>
      </c>
      <c r="I15">
        <v>20</v>
      </c>
    </row>
    <row r="16" spans="1:9">
      <c r="A16">
        <v>360</v>
      </c>
      <c r="B16" s="4">
        <v>0.33</v>
      </c>
      <c r="C16">
        <v>360</v>
      </c>
      <c r="D16">
        <v>69</v>
      </c>
    </row>
  </sheetData>
  <pageMargins left="0.7" right="0.7" top="0.75" bottom="0.75" header="0.3" footer="0.3"/>
  <tableParts count="4">
    <tablePart r:id="rId1"/>
    <tablePart r:id="rId2"/>
    <tablePart r:id="rId3"/>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UVT</vt:lpstr>
      <vt:lpstr>Cedula Rentas Trabajo</vt:lpstr>
      <vt:lpstr>Cedula de Pensiones</vt:lpstr>
      <vt:lpstr>Cedula Rentas Capital</vt:lpstr>
      <vt:lpstr>Cedula Rentas No Laborales</vt:lpstr>
      <vt:lpstr>Cedula Dividendos</vt:lpstr>
      <vt:lpstr>Cedula Renta Presuntiva</vt:lpstr>
      <vt:lpstr>Tabla Renta y Retefte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EFlorez</dc:creator>
  <cp:lastModifiedBy>Edmundo Florez</cp:lastModifiedBy>
  <dcterms:created xsi:type="dcterms:W3CDTF">2017-01-04T15:26:43Z</dcterms:created>
  <dcterms:modified xsi:type="dcterms:W3CDTF">2018-03-12T17:45:44Z</dcterms:modified>
</cp:coreProperties>
</file>